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45" windowWidth="12120" windowHeight="8580" activeTab="1"/>
  </bookViews>
  <sheets>
    <sheet name="Cost Sheet" sheetId="2" r:id="rId1"/>
    <sheet name="Summary Sales Sheet" sheetId="4" r:id="rId2"/>
    <sheet name="Labor Rates" sheetId="8" r:id="rId3"/>
  </sheets>
  <calcPr calcId="125725"/>
</workbook>
</file>

<file path=xl/calcChain.xml><?xml version="1.0" encoding="utf-8"?>
<calcChain xmlns="http://schemas.openxmlformats.org/spreadsheetml/2006/main">
  <c r="D24" i="4"/>
  <c r="E24" s="1"/>
  <c r="D18"/>
  <c r="E18" s="1"/>
  <c r="E17" i="2"/>
  <c r="H49"/>
  <c r="E29"/>
  <c r="G49"/>
  <c r="I20" i="8"/>
  <c r="H20"/>
  <c r="G20"/>
  <c r="E20"/>
  <c r="D20"/>
  <c r="C20"/>
  <c r="G47" i="2"/>
  <c r="G45"/>
  <c r="C95"/>
  <c r="C93"/>
  <c r="C92"/>
  <c r="C91"/>
  <c r="E49"/>
  <c r="C44"/>
  <c r="B36"/>
  <c r="D36" s="1"/>
  <c r="D54" s="1"/>
  <c r="E36"/>
  <c r="E38"/>
  <c r="E40"/>
  <c r="E42"/>
  <c r="E6"/>
  <c r="E8"/>
  <c r="B96"/>
  <c r="B10" i="4" s="1"/>
  <c r="C113" i="2"/>
  <c r="C110"/>
  <c r="C111"/>
  <c r="B114"/>
  <c r="B14" i="4" s="1"/>
  <c r="A16"/>
  <c r="G18" i="8"/>
  <c r="H18"/>
  <c r="G17"/>
  <c r="H17"/>
  <c r="E14" i="2"/>
  <c r="E16"/>
  <c r="G19" i="8"/>
  <c r="H19"/>
  <c r="E23" i="2"/>
  <c r="E21"/>
  <c r="C107"/>
  <c r="C108"/>
  <c r="C109"/>
  <c r="C112"/>
  <c r="C90"/>
  <c r="C94"/>
  <c r="B40"/>
  <c r="C40" s="1"/>
  <c r="D44"/>
  <c r="B38"/>
  <c r="D38" s="1"/>
  <c r="D55" s="1"/>
  <c r="D64" s="1"/>
  <c r="E9"/>
  <c r="E24"/>
  <c r="C19" i="8"/>
  <c r="D19"/>
  <c r="E19"/>
  <c r="I19"/>
  <c r="C18"/>
  <c r="D18"/>
  <c r="E18"/>
  <c r="I18"/>
  <c r="C17"/>
  <c r="J17" s="1"/>
  <c r="K17" s="1"/>
  <c r="L17" s="1"/>
  <c r="M17" s="1"/>
  <c r="D48" i="2" s="1"/>
  <c r="D17" i="8"/>
  <c r="E17"/>
  <c r="I17"/>
  <c r="B29"/>
  <c r="G29"/>
  <c r="H29"/>
  <c r="I27"/>
  <c r="J27"/>
  <c r="M27"/>
  <c r="B28"/>
  <c r="G28" s="1"/>
  <c r="B42" i="2"/>
  <c r="D42" s="1"/>
  <c r="D57" s="1"/>
  <c r="E28"/>
  <c r="E30"/>
  <c r="E31"/>
  <c r="A14" i="4"/>
  <c r="J16" i="8"/>
  <c r="M16"/>
  <c r="J20"/>
  <c r="E28"/>
  <c r="E29"/>
  <c r="C29"/>
  <c r="I29"/>
  <c r="D29"/>
  <c r="D40" i="2"/>
  <c r="D56" s="1"/>
  <c r="D65" s="1"/>
  <c r="E32" l="1"/>
  <c r="G57" s="1"/>
  <c r="G66" s="1"/>
  <c r="C42"/>
  <c r="F42"/>
  <c r="F57" s="1"/>
  <c r="F66" s="1"/>
  <c r="C38"/>
  <c r="B55" s="1"/>
  <c r="J19" i="8"/>
  <c r="B49" i="2" s="1"/>
  <c r="J18" i="8"/>
  <c r="K18" s="1"/>
  <c r="L18" s="1"/>
  <c r="M18" s="1"/>
  <c r="D47" i="2" s="1"/>
  <c r="J29" i="8"/>
  <c r="C47" i="2" s="1"/>
  <c r="E54" s="1"/>
  <c r="B48"/>
  <c r="C18" s="1"/>
  <c r="E18" s="1"/>
  <c r="C28" i="8"/>
  <c r="B65" i="2"/>
  <c r="C65" s="1"/>
  <c r="F40"/>
  <c r="F56" s="1"/>
  <c r="F65" s="1"/>
  <c r="F38"/>
  <c r="F55" s="1"/>
  <c r="F64" s="1"/>
  <c r="C36"/>
  <c r="B54" s="1"/>
  <c r="F36"/>
  <c r="F54" s="1"/>
  <c r="F63" s="1"/>
  <c r="B56"/>
  <c r="C55"/>
  <c r="E65"/>
  <c r="C22"/>
  <c r="E22" s="1"/>
  <c r="I28" i="8"/>
  <c r="H28"/>
  <c r="D28"/>
  <c r="B47" i="2"/>
  <c r="C7"/>
  <c r="C15"/>
  <c r="E15" s="1"/>
  <c r="E19" s="1"/>
  <c r="G55" s="1"/>
  <c r="G64" s="1"/>
  <c r="C114"/>
  <c r="C14" i="4" s="1"/>
  <c r="D14" s="1"/>
  <c r="E14" s="1"/>
  <c r="C96" i="2"/>
  <c r="C10" i="4" s="1"/>
  <c r="D10" s="1"/>
  <c r="E10" s="1"/>
  <c r="B71" i="2"/>
  <c r="D66"/>
  <c r="E66" s="1"/>
  <c r="E57"/>
  <c r="E56"/>
  <c r="C77"/>
  <c r="C8" i="4" s="1"/>
  <c r="B64" i="2"/>
  <c r="C64" s="1"/>
  <c r="D58"/>
  <c r="D67" s="1"/>
  <c r="D63"/>
  <c r="B63"/>
  <c r="B66" l="1"/>
  <c r="C66" s="1"/>
  <c r="B57"/>
  <c r="C57" s="1"/>
  <c r="C25"/>
  <c r="E25" s="1"/>
  <c r="E26"/>
  <c r="G56" s="1"/>
  <c r="G65" s="1"/>
  <c r="F58"/>
  <c r="B81" s="1"/>
  <c r="L29" i="8"/>
  <c r="M29" s="1"/>
  <c r="E47" i="2" s="1"/>
  <c r="E63" s="1"/>
  <c r="C56"/>
  <c r="B77" s="1"/>
  <c r="B8" i="4" s="1"/>
  <c r="D8" s="1"/>
  <c r="E8" s="1"/>
  <c r="B67" i="2"/>
  <c r="J28" i="8"/>
  <c r="C10" i="2"/>
  <c r="E10" s="1"/>
  <c r="E7"/>
  <c r="C63"/>
  <c r="C54"/>
  <c r="F67"/>
  <c r="C81" s="1"/>
  <c r="B58" l="1"/>
  <c r="B72"/>
  <c r="E11"/>
  <c r="G54" s="1"/>
  <c r="G63" s="1"/>
  <c r="G67" s="1"/>
  <c r="C82" s="1"/>
  <c r="C83" s="1"/>
  <c r="C6" i="4" s="1"/>
  <c r="C48" i="2"/>
  <c r="E55" s="1"/>
  <c r="E58" s="1"/>
  <c r="L28" i="8"/>
  <c r="M28" s="1"/>
  <c r="E48" i="2" s="1"/>
  <c r="E64" s="1"/>
  <c r="E67" s="1"/>
  <c r="C67"/>
  <c r="C58"/>
  <c r="G58" l="1"/>
  <c r="B82" s="1"/>
  <c r="B83" s="1"/>
  <c r="B6" i="4" s="1"/>
  <c r="B74" i="2"/>
  <c r="B79" s="1"/>
  <c r="G8"/>
  <c r="C74"/>
  <c r="C79" s="1"/>
  <c r="C87" s="1"/>
  <c r="C100" s="1"/>
  <c r="D6" i="4"/>
  <c r="B87" i="2" l="1"/>
  <c r="B100" s="1"/>
  <c r="B104" s="1"/>
  <c r="B4" i="4"/>
  <c r="C4"/>
  <c r="E6"/>
  <c r="D4" l="1"/>
  <c r="B102" i="2"/>
  <c r="C102" s="1"/>
  <c r="C104" s="1"/>
  <c r="B119" s="1"/>
  <c r="B121" s="1"/>
  <c r="E4" i="4"/>
  <c r="C12" l="1"/>
  <c r="D12" s="1"/>
  <c r="B16"/>
  <c r="B20" s="1"/>
  <c r="B29" s="1"/>
  <c r="C16"/>
  <c r="D16" l="1"/>
  <c r="E16" s="1"/>
  <c r="C20"/>
  <c r="C29" s="1"/>
  <c r="D29" s="1"/>
  <c r="E29" s="1"/>
  <c r="D20"/>
  <c r="E20" l="1"/>
</calcChain>
</file>

<file path=xl/sharedStrings.xml><?xml version="1.0" encoding="utf-8"?>
<sst xmlns="http://schemas.openxmlformats.org/spreadsheetml/2006/main" count="210" uniqueCount="129">
  <si>
    <t>Number</t>
  </si>
  <si>
    <t>Days</t>
  </si>
  <si>
    <t>Per Diem</t>
  </si>
  <si>
    <t>TA's</t>
  </si>
  <si>
    <t>Mobilization / Demobilization</t>
  </si>
  <si>
    <t>Travel In / Out</t>
  </si>
  <si>
    <t>Cost per</t>
  </si>
  <si>
    <t>Total Cost</t>
  </si>
  <si>
    <t>Air fare</t>
  </si>
  <si>
    <t>Time</t>
  </si>
  <si>
    <t>ST.</t>
  </si>
  <si>
    <t>O.T</t>
  </si>
  <si>
    <t xml:space="preserve"> </t>
  </si>
  <si>
    <t>Inspection</t>
  </si>
  <si>
    <t>Rates:</t>
  </si>
  <si>
    <t>ST.Hours</t>
  </si>
  <si>
    <t>ST Price</t>
  </si>
  <si>
    <t>OT Hours</t>
  </si>
  <si>
    <t>OT Price</t>
  </si>
  <si>
    <t>Travel in / Out</t>
  </si>
  <si>
    <t>Subtotal</t>
  </si>
  <si>
    <t>Report</t>
  </si>
  <si>
    <t>Grand Total</t>
  </si>
  <si>
    <t>Local Transport</t>
  </si>
  <si>
    <t>Proposal Basis (assumptions)</t>
  </si>
  <si>
    <t>Craftsmen</t>
  </si>
  <si>
    <t>Mobilization</t>
  </si>
  <si>
    <t>Project Manager</t>
  </si>
  <si>
    <t xml:space="preserve"> TRADE OR CLASSIFICATION</t>
  </si>
  <si>
    <t xml:space="preserve"> BASE RATE – STRAIGHT TIME</t>
  </si>
  <si>
    <t xml:space="preserve"> FICA</t>
  </si>
  <si>
    <t xml:space="preserve"> FUTA</t>
  </si>
  <si>
    <t xml:space="preserve"> SUTA</t>
  </si>
  <si>
    <t xml:space="preserve"> FRINGES</t>
  </si>
  <si>
    <t>SMALL TOOLS / CONSUMABLES</t>
  </si>
  <si>
    <t>INSURANCE</t>
  </si>
  <si>
    <t xml:space="preserve"> SUBTOTAL</t>
  </si>
  <si>
    <t xml:space="preserve"> OVERHEAD AND PROFIT</t>
  </si>
  <si>
    <t xml:space="preserve"> ALL-INCLUSIVE S/T RATE</t>
  </si>
  <si>
    <t>GL</t>
  </si>
  <si>
    <t>W Comp</t>
  </si>
  <si>
    <t xml:space="preserve"> OH</t>
  </si>
  <si>
    <t xml:space="preserve"> Profit</t>
  </si>
  <si>
    <t>Foreman</t>
  </si>
  <si>
    <t>Millwright</t>
  </si>
  <si>
    <t xml:space="preserve"> BASE RATE – OVERTIME</t>
  </si>
  <si>
    <t xml:space="preserve"> ALL-INCLUSIVE O/T RATE</t>
  </si>
  <si>
    <t>Pricing Sheet</t>
  </si>
  <si>
    <t>TA's/Supervision</t>
  </si>
  <si>
    <t>Other Cost</t>
  </si>
  <si>
    <t>Outage Duration Direct Labor</t>
  </si>
  <si>
    <t>Outage Duration Indirect Labor</t>
  </si>
  <si>
    <t>T/A's/Supervision</t>
  </si>
  <si>
    <t>Totals</t>
  </si>
  <si>
    <t>Total Direct Hours</t>
  </si>
  <si>
    <t>Total Indirect Hours</t>
  </si>
  <si>
    <t>Project:</t>
  </si>
  <si>
    <t>Project #:</t>
  </si>
  <si>
    <t>Sub Contracts</t>
  </si>
  <si>
    <t>Total Commission</t>
  </si>
  <si>
    <t>Total Cost on Sub Contracts</t>
  </si>
  <si>
    <t>Generator Specialist</t>
  </si>
  <si>
    <t>TA's/Supervision/Gen. Spe</t>
  </si>
  <si>
    <t>Straight time Days</t>
  </si>
  <si>
    <t>Hours Per Day</t>
  </si>
  <si>
    <t>Straight time Days with OT</t>
  </si>
  <si>
    <t>Overtime Days</t>
  </si>
  <si>
    <t>Number of Work Days For Per Diem</t>
  </si>
  <si>
    <t>Number of Work Days Per Diem</t>
  </si>
  <si>
    <t>Direct Labor</t>
  </si>
  <si>
    <t>Direct Labor Cost</t>
  </si>
  <si>
    <t>Indirect Labor Sales Price</t>
  </si>
  <si>
    <t>Job Set Up</t>
  </si>
  <si>
    <t>Indirect Labor</t>
  </si>
  <si>
    <t>Shifts</t>
  </si>
  <si>
    <t>Days Per Week</t>
  </si>
  <si>
    <t>Travel in/out</t>
  </si>
  <si>
    <t>Sub Total on Labor</t>
  </si>
  <si>
    <t>Per Diem/Mob</t>
  </si>
  <si>
    <t>Margins $</t>
  </si>
  <si>
    <t>Margin %</t>
  </si>
  <si>
    <t>2. Consumables</t>
  </si>
  <si>
    <t>Project Cost Summary</t>
  </si>
  <si>
    <t>Project Price Summary</t>
  </si>
  <si>
    <t>Cost ST</t>
  </si>
  <si>
    <t>Cost OT</t>
  </si>
  <si>
    <t>Price ST</t>
  </si>
  <si>
    <t>Price OT</t>
  </si>
  <si>
    <t>Cost</t>
  </si>
  <si>
    <t>Price</t>
  </si>
  <si>
    <t>Total Direcr Labor</t>
  </si>
  <si>
    <t xml:space="preserve">Total Indirect Labor </t>
  </si>
  <si>
    <t>Markup</t>
  </si>
  <si>
    <t>Total with Warranty</t>
  </si>
  <si>
    <t>Cost Numbers</t>
  </si>
  <si>
    <t>Price Number</t>
  </si>
  <si>
    <t>1. Tools/Truck</t>
  </si>
  <si>
    <t>Mob/Demob Cost</t>
  </si>
  <si>
    <t>Warranty cost</t>
  </si>
  <si>
    <t>HRS/Shift</t>
  </si>
  <si>
    <t>Warranty cost (3%)</t>
  </si>
  <si>
    <t>5% of Total Profit</t>
  </si>
  <si>
    <t>Commission</t>
  </si>
  <si>
    <t>2 NDE Estimate</t>
  </si>
  <si>
    <t>7 Office/Change Trailer</t>
  </si>
  <si>
    <t>3. Hytorque</t>
  </si>
  <si>
    <t>Total</t>
  </si>
  <si>
    <t>3.E&amp;C Tech</t>
  </si>
  <si>
    <t>4. Insulators</t>
  </si>
  <si>
    <t>5. Scaffolding</t>
  </si>
  <si>
    <t>See Sheet</t>
  </si>
  <si>
    <t>Bid Bond</t>
  </si>
  <si>
    <t>6 Vibration Analysis</t>
  </si>
  <si>
    <t>Contingency</t>
  </si>
  <si>
    <t>5 Three Rivers Training</t>
  </si>
  <si>
    <t>6 Drug Screening</t>
  </si>
  <si>
    <t>Aberdeen, UK</t>
  </si>
  <si>
    <t>GE 9E Relocation X 2</t>
  </si>
  <si>
    <t>GE 9E</t>
  </si>
  <si>
    <t>4 TA</t>
  </si>
  <si>
    <t>8 WF</t>
  </si>
  <si>
    <t>1PM</t>
  </si>
  <si>
    <t>4. Rental Equipment and Fuel</t>
  </si>
  <si>
    <t>1  Heavy Lift Crane</t>
  </si>
  <si>
    <t>Midstones</t>
  </si>
  <si>
    <t>Intial Mobilization (Site Survey)</t>
  </si>
  <si>
    <t xml:space="preserve">Project Mobilization </t>
  </si>
  <si>
    <t>Crating Complete</t>
  </si>
  <si>
    <t>Load Out Complete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</si>
</sst>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&quot;$&quot;#,##0.00"/>
    <numFmt numFmtId="165" formatCode="0.0%"/>
    <numFmt numFmtId="167" formatCode="_(&quot;$&quot;* #,##0_);_(&quot;$&quot;* \(#,##0\);_(&quot;$&quot;* &quot;-&quot;??_);_(@_)"/>
  </numFmts>
  <fonts count="13">
    <font>
      <sz val="10"/>
      <name val="Arial"/>
    </font>
    <font>
      <sz val="10"/>
      <name val="Arial"/>
    </font>
    <font>
      <b/>
      <u/>
      <sz val="14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1"/>
      <name val="Arial"/>
      <family val="2"/>
    </font>
    <font>
      <b/>
      <sz val="12"/>
      <color indexed="10"/>
      <name val="Arial"/>
      <family val="2"/>
    </font>
    <font>
      <b/>
      <sz val="16"/>
      <color indexed="10"/>
      <name val="Arial"/>
      <family val="2"/>
    </font>
    <font>
      <b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5" fillId="0" borderId="0" xfId="0" applyNumberFormat="1" applyFont="1"/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10" fontId="0" fillId="2" borderId="1" xfId="0" applyNumberForma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0" fontId="0" fillId="0" borderId="3" xfId="0" applyBorder="1"/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/>
    <xf numFmtId="164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4" fontId="0" fillId="0" borderId="0" xfId="1" applyFont="1"/>
    <xf numFmtId="44" fontId="5" fillId="0" borderId="0" xfId="1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44" fontId="8" fillId="0" borderId="0" xfId="1" applyFont="1"/>
    <xf numFmtId="44" fontId="0" fillId="0" borderId="0" xfId="0" applyNumberFormat="1"/>
    <xf numFmtId="164" fontId="8" fillId="0" borderId="4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44" fontId="1" fillId="0" borderId="0" xfId="1" applyFont="1"/>
    <xf numFmtId="10" fontId="8" fillId="2" borderId="1" xfId="0" applyNumberFormat="1" applyFont="1" applyFill="1" applyBorder="1" applyAlignment="1">
      <alignment horizontal="center"/>
    </xf>
    <xf numFmtId="0" fontId="0" fillId="0" borderId="0" xfId="0" applyBorder="1"/>
    <xf numFmtId="164" fontId="8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7" xfId="0" applyFill="1" applyBorder="1"/>
    <xf numFmtId="0" fontId="0" fillId="0" borderId="8" xfId="0" applyBorder="1"/>
    <xf numFmtId="44" fontId="6" fillId="0" borderId="0" xfId="1" applyFont="1" applyFill="1"/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6" fillId="0" borderId="0" xfId="1" applyFont="1" applyFill="1" applyAlignment="1">
      <alignment horizontal="center"/>
    </xf>
    <xf numFmtId="2" fontId="8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4" fontId="5" fillId="0" borderId="0" xfId="1" applyFont="1" applyAlignment="1">
      <alignment horizontal="right"/>
    </xf>
    <xf numFmtId="165" fontId="0" fillId="0" borderId="0" xfId="2" applyNumberFormat="1" applyFont="1"/>
    <xf numFmtId="44" fontId="8" fillId="0" borderId="0" xfId="1" applyFont="1" applyAlignment="1">
      <alignment horizontal="right"/>
    </xf>
    <xf numFmtId="44" fontId="6" fillId="0" borderId="0" xfId="1" applyFont="1"/>
    <xf numFmtId="0" fontId="9" fillId="0" borderId="0" xfId="0" applyFo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3" borderId="0" xfId="0" applyFont="1" applyFill="1"/>
    <xf numFmtId="0" fontId="10" fillId="3" borderId="0" xfId="0" applyFont="1" applyFill="1" applyAlignment="1">
      <alignment horizontal="center"/>
    </xf>
    <xf numFmtId="44" fontId="5" fillId="0" borderId="0" xfId="0" applyNumberFormat="1" applyFont="1"/>
    <xf numFmtId="0" fontId="8" fillId="4" borderId="0" xfId="0" applyFont="1" applyFill="1" applyAlignment="1">
      <alignment horizontal="center"/>
    </xf>
    <xf numFmtId="1" fontId="8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Alignment="1"/>
    <xf numFmtId="0" fontId="10" fillId="0" borderId="0" xfId="0" applyFont="1" applyAlignment="1">
      <alignment wrapText="1"/>
    </xf>
    <xf numFmtId="44" fontId="12" fillId="0" borderId="0" xfId="1" applyFont="1" applyAlignment="1">
      <alignment horizontal="right"/>
    </xf>
    <xf numFmtId="44" fontId="1" fillId="0" borderId="0" xfId="0" applyNumberFormat="1" applyFont="1"/>
    <xf numFmtId="0" fontId="6" fillId="0" borderId="0" xfId="0" applyFont="1" applyAlignment="1"/>
    <xf numFmtId="44" fontId="6" fillId="0" borderId="0" xfId="0" applyNumberFormat="1" applyFont="1"/>
    <xf numFmtId="44" fontId="5" fillId="0" borderId="0" xfId="1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5" borderId="10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18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9" fontId="5" fillId="0" borderId="0" xfId="1" applyNumberFormat="1" applyFont="1"/>
    <xf numFmtId="167" fontId="5" fillId="0" borderId="0" xfId="1" applyNumberFormat="1" applyFont="1"/>
    <xf numFmtId="9" fontId="5" fillId="0" borderId="0" xfId="2" applyFont="1"/>
    <xf numFmtId="167" fontId="5" fillId="0" borderId="0" xfId="1" applyNumberFormat="1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22"/>
  <sheetViews>
    <sheetView zoomScale="85" workbookViewId="0">
      <selection activeCell="B114" sqref="B114"/>
    </sheetView>
  </sheetViews>
  <sheetFormatPr defaultRowHeight="12.75"/>
  <cols>
    <col min="1" max="1" width="30.140625" customWidth="1"/>
    <col min="2" max="2" width="15.7109375" customWidth="1"/>
    <col min="3" max="3" width="14.7109375" customWidth="1"/>
    <col min="4" max="4" width="9.85546875" customWidth="1"/>
    <col min="5" max="5" width="13.7109375" customWidth="1"/>
    <col min="6" max="6" width="14.7109375" customWidth="1"/>
    <col min="7" max="7" width="25.5703125" customWidth="1"/>
    <col min="8" max="8" width="21.7109375" customWidth="1"/>
    <col min="9" max="9" width="31" customWidth="1"/>
    <col min="10" max="10" width="29.85546875" customWidth="1"/>
  </cols>
  <sheetData>
    <row r="1" spans="1:10" ht="47.25" customHeight="1">
      <c r="A1" s="70" t="s">
        <v>116</v>
      </c>
      <c r="B1" s="76" t="s">
        <v>117</v>
      </c>
      <c r="C1" s="76"/>
      <c r="D1" s="76"/>
      <c r="E1" s="79" t="s">
        <v>118</v>
      </c>
      <c r="F1" s="79"/>
      <c r="G1" s="79"/>
    </row>
    <row r="2" spans="1:10" ht="18">
      <c r="A2" s="1" t="s">
        <v>4</v>
      </c>
    </row>
    <row r="4" spans="1:10">
      <c r="A4" s="4" t="s">
        <v>5</v>
      </c>
      <c r="B4" s="4" t="s">
        <v>0</v>
      </c>
      <c r="C4" s="4" t="s">
        <v>6</v>
      </c>
      <c r="D4" s="4"/>
      <c r="E4" s="4" t="s">
        <v>7</v>
      </c>
    </row>
    <row r="5" spans="1:10">
      <c r="A5" s="10" t="s">
        <v>25</v>
      </c>
      <c r="B5" s="54">
        <v>37</v>
      </c>
      <c r="C5" s="3"/>
      <c r="D5" s="3"/>
      <c r="E5" s="3"/>
      <c r="H5" s="7"/>
      <c r="I5" s="7"/>
      <c r="J5" s="7"/>
    </row>
    <row r="6" spans="1:10">
      <c r="A6" s="11" t="s">
        <v>26</v>
      </c>
      <c r="B6" s="25">
        <v>37</v>
      </c>
      <c r="C6" s="26">
        <v>3500</v>
      </c>
      <c r="D6" s="3"/>
      <c r="E6" s="21">
        <f>C6*B6</f>
        <v>129500</v>
      </c>
      <c r="H6" s="7"/>
      <c r="I6" s="7"/>
      <c r="J6" s="7"/>
    </row>
    <row r="7" spans="1:10">
      <c r="A7" s="5" t="s">
        <v>9</v>
      </c>
      <c r="B7" s="25">
        <v>0</v>
      </c>
      <c r="C7" s="22">
        <f>'Labor Rates'!M18</f>
        <v>60.34049000000001</v>
      </c>
      <c r="D7" s="3"/>
      <c r="E7" s="21">
        <f>C7*B7</f>
        <v>0</v>
      </c>
      <c r="G7" t="s">
        <v>97</v>
      </c>
      <c r="H7" s="7"/>
      <c r="I7" s="7"/>
      <c r="J7" s="7"/>
    </row>
    <row r="8" spans="1:10">
      <c r="A8" s="5" t="s">
        <v>2</v>
      </c>
      <c r="B8" s="25">
        <v>0</v>
      </c>
      <c r="C8" s="26">
        <v>256</v>
      </c>
      <c r="D8" s="3"/>
      <c r="E8" s="21">
        <f>C8*B8</f>
        <v>0</v>
      </c>
      <c r="G8" s="27">
        <f>SUM(E11,E19,E26,E32)</f>
        <v>335593.35168000002</v>
      </c>
      <c r="H8" s="7"/>
      <c r="I8" s="7"/>
      <c r="J8" s="7"/>
    </row>
    <row r="9" spans="1:10">
      <c r="A9" s="5" t="s">
        <v>23</v>
      </c>
      <c r="B9" s="25">
        <v>1</v>
      </c>
      <c r="C9" s="26">
        <v>25000</v>
      </c>
      <c r="D9" s="3"/>
      <c r="E9" s="21">
        <f>C9*B9</f>
        <v>25000</v>
      </c>
      <c r="H9" s="7"/>
      <c r="I9" s="7"/>
      <c r="J9" s="7"/>
    </row>
    <row r="10" spans="1:10">
      <c r="A10" s="5" t="s">
        <v>72</v>
      </c>
      <c r="B10" s="25">
        <v>0</v>
      </c>
      <c r="C10" s="22">
        <f>B10*C7</f>
        <v>0</v>
      </c>
      <c r="D10" s="3"/>
      <c r="E10" s="21">
        <f>C10</f>
        <v>0</v>
      </c>
      <c r="H10" s="7"/>
      <c r="I10" s="7"/>
      <c r="J10" s="7"/>
    </row>
    <row r="11" spans="1:10">
      <c r="A11" s="5"/>
      <c r="B11" s="7"/>
      <c r="C11" s="3"/>
      <c r="D11" s="3"/>
      <c r="E11" s="22">
        <f>SUM(E6:E10)</f>
        <v>154500</v>
      </c>
    </row>
    <row r="12" spans="1:10">
      <c r="A12" s="5"/>
      <c r="B12" s="7"/>
      <c r="C12" s="3"/>
      <c r="D12" s="3"/>
      <c r="E12" s="22"/>
    </row>
    <row r="13" spans="1:10">
      <c r="A13" s="20" t="s">
        <v>43</v>
      </c>
      <c r="B13" s="54">
        <v>8</v>
      </c>
      <c r="C13" s="3"/>
      <c r="D13" s="3"/>
      <c r="E13" s="21"/>
    </row>
    <row r="14" spans="1:10">
      <c r="A14" s="11" t="s">
        <v>26</v>
      </c>
      <c r="B14" s="25">
        <v>8</v>
      </c>
      <c r="C14" s="26">
        <v>10000</v>
      </c>
      <c r="D14" s="3"/>
      <c r="E14" s="21">
        <f>C14*B14</f>
        <v>80000</v>
      </c>
    </row>
    <row r="15" spans="1:10">
      <c r="A15" s="5" t="s">
        <v>9</v>
      </c>
      <c r="B15" s="25">
        <v>256</v>
      </c>
      <c r="C15" s="22">
        <f>'Labor Rates'!M17</f>
        <v>69.435905000000005</v>
      </c>
      <c r="D15" s="3"/>
      <c r="E15" s="21">
        <f>C15*B15</f>
        <v>17775.591680000001</v>
      </c>
    </row>
    <row r="16" spans="1:10">
      <c r="A16" s="5" t="s">
        <v>2</v>
      </c>
      <c r="B16" s="25">
        <v>16</v>
      </c>
      <c r="C16" s="26">
        <v>256</v>
      </c>
      <c r="D16" s="3"/>
      <c r="E16" s="21">
        <f>C16*B16</f>
        <v>4096</v>
      </c>
    </row>
    <row r="17" spans="1:5">
      <c r="A17" s="5" t="s">
        <v>23</v>
      </c>
      <c r="B17" s="25">
        <v>8</v>
      </c>
      <c r="C17" s="26">
        <v>1000</v>
      </c>
      <c r="D17" s="3"/>
      <c r="E17" s="21">
        <f>C17*B17</f>
        <v>8000</v>
      </c>
    </row>
    <row r="18" spans="1:5">
      <c r="A18" s="5" t="s">
        <v>72</v>
      </c>
      <c r="B18" s="25">
        <v>0</v>
      </c>
      <c r="C18" s="22">
        <f>B18*B48</f>
        <v>0</v>
      </c>
      <c r="D18" s="3"/>
      <c r="E18" s="21">
        <f>C18</f>
        <v>0</v>
      </c>
    </row>
    <row r="19" spans="1:5">
      <c r="A19" s="5"/>
      <c r="B19" s="7"/>
      <c r="C19" s="3"/>
      <c r="D19" s="3"/>
      <c r="E19" s="22">
        <f>SUM(E14:E18)</f>
        <v>109871.59168</v>
      </c>
    </row>
    <row r="20" spans="1:5">
      <c r="A20" s="10" t="s">
        <v>62</v>
      </c>
      <c r="B20" s="54">
        <v>4</v>
      </c>
      <c r="C20" s="3"/>
      <c r="D20" s="3"/>
      <c r="E20" s="21"/>
    </row>
    <row r="21" spans="1:5">
      <c r="A21" s="5" t="s">
        <v>8</v>
      </c>
      <c r="B21" s="25">
        <v>4</v>
      </c>
      <c r="C21" s="26">
        <v>10000</v>
      </c>
      <c r="D21" s="3"/>
      <c r="E21" s="21">
        <f>C21*B21</f>
        <v>40000</v>
      </c>
    </row>
    <row r="22" spans="1:5">
      <c r="A22" s="5" t="s">
        <v>9</v>
      </c>
      <c r="B22" s="25">
        <v>128</v>
      </c>
      <c r="C22" s="22">
        <f>SUM('Labor Rates'!J19)</f>
        <v>85.997499999999988</v>
      </c>
      <c r="D22" s="3"/>
      <c r="E22" s="21">
        <f>C22*B22</f>
        <v>11007.679999999998</v>
      </c>
    </row>
    <row r="23" spans="1:5">
      <c r="A23" s="5" t="s">
        <v>2</v>
      </c>
      <c r="B23" s="25">
        <v>4</v>
      </c>
      <c r="C23" s="26">
        <v>256</v>
      </c>
      <c r="D23" s="3"/>
      <c r="E23" s="21">
        <f>C23*B23</f>
        <v>1024</v>
      </c>
    </row>
    <row r="24" spans="1:5">
      <c r="A24" s="5" t="s">
        <v>23</v>
      </c>
      <c r="B24" s="25">
        <v>8</v>
      </c>
      <c r="C24" s="26">
        <v>500</v>
      </c>
      <c r="D24" s="3"/>
      <c r="E24" s="21">
        <f>C24*B24</f>
        <v>4000</v>
      </c>
    </row>
    <row r="25" spans="1:5">
      <c r="A25" s="5" t="s">
        <v>21</v>
      </c>
      <c r="B25" s="25">
        <v>0</v>
      </c>
      <c r="C25" s="53">
        <f>SUM('Labor Rates'!J19)</f>
        <v>85.997499999999988</v>
      </c>
      <c r="D25" s="3"/>
      <c r="E25" s="47">
        <f>C25*B25</f>
        <v>0</v>
      </c>
    </row>
    <row r="26" spans="1:5">
      <c r="A26" s="5"/>
      <c r="B26" s="25"/>
      <c r="C26" s="3"/>
      <c r="D26" s="3"/>
      <c r="E26" s="22">
        <f>SUM(E21:E25)</f>
        <v>56031.68</v>
      </c>
    </row>
    <row r="27" spans="1:5">
      <c r="A27" s="10" t="s">
        <v>27</v>
      </c>
      <c r="B27" s="25">
        <v>1</v>
      </c>
      <c r="C27" s="3"/>
      <c r="D27" s="3"/>
      <c r="E27" s="21"/>
    </row>
    <row r="28" spans="1:5">
      <c r="A28" s="5" t="s">
        <v>8</v>
      </c>
      <c r="B28" s="25">
        <v>1</v>
      </c>
      <c r="C28" s="26">
        <v>10000</v>
      </c>
      <c r="D28" s="3"/>
      <c r="E28" s="21">
        <f>C28*B28</f>
        <v>10000</v>
      </c>
    </row>
    <row r="29" spans="1:5">
      <c r="A29" s="5" t="s">
        <v>9</v>
      </c>
      <c r="B29" s="25">
        <v>32</v>
      </c>
      <c r="C29" s="22">
        <v>83.69</v>
      </c>
      <c r="D29" s="3"/>
      <c r="E29" s="21">
        <f>C29*B29</f>
        <v>2678.08</v>
      </c>
    </row>
    <row r="30" spans="1:5">
      <c r="A30" s="5" t="s">
        <v>2</v>
      </c>
      <c r="B30" s="25">
        <v>2</v>
      </c>
      <c r="C30" s="26">
        <v>256</v>
      </c>
      <c r="E30" s="21">
        <f>C30*B30</f>
        <v>512</v>
      </c>
    </row>
    <row r="31" spans="1:5">
      <c r="A31" s="5" t="s">
        <v>23</v>
      </c>
      <c r="B31" s="25">
        <v>4</v>
      </c>
      <c r="C31" s="26">
        <v>500</v>
      </c>
      <c r="E31" s="21">
        <f>B31*C31</f>
        <v>2000</v>
      </c>
    </row>
    <row r="32" spans="1:5">
      <c r="E32" s="22">
        <f>SUM(E28:E31)</f>
        <v>15190.08</v>
      </c>
    </row>
    <row r="33" spans="1:10">
      <c r="A33" t="s">
        <v>12</v>
      </c>
      <c r="C33" t="s">
        <v>12</v>
      </c>
      <c r="D33" t="s">
        <v>12</v>
      </c>
      <c r="F33" s="8" t="s">
        <v>12</v>
      </c>
    </row>
    <row r="34" spans="1:10" ht="18">
      <c r="A34" s="1" t="s">
        <v>13</v>
      </c>
      <c r="G34" s="19" t="s">
        <v>69</v>
      </c>
      <c r="I34" s="9" t="s">
        <v>50</v>
      </c>
      <c r="J34" s="9" t="s">
        <v>51</v>
      </c>
    </row>
    <row r="35" spans="1:10">
      <c r="A35" s="2"/>
      <c r="B35" s="6" t="s">
        <v>0</v>
      </c>
      <c r="C35" s="6" t="s">
        <v>10</v>
      </c>
      <c r="D35" s="6" t="s">
        <v>11</v>
      </c>
      <c r="E35" s="6" t="s">
        <v>1</v>
      </c>
      <c r="F35" s="6" t="s">
        <v>2</v>
      </c>
      <c r="G35" s="9" t="s">
        <v>63</v>
      </c>
      <c r="H35" s="19" t="s">
        <v>64</v>
      </c>
      <c r="I35" s="24" t="s">
        <v>67</v>
      </c>
      <c r="J35" s="24" t="s">
        <v>68</v>
      </c>
    </row>
    <row r="36" spans="1:10">
      <c r="A36" s="23" t="s">
        <v>25</v>
      </c>
      <c r="B36" s="7">
        <f>B5</f>
        <v>37</v>
      </c>
      <c r="C36" s="7">
        <f>B36*G36*H36</f>
        <v>11840</v>
      </c>
      <c r="D36" s="7">
        <f>(B36*G38*H38)+G40*H40*B36</f>
        <v>9472</v>
      </c>
      <c r="E36" s="7">
        <f>I36</f>
        <v>60</v>
      </c>
      <c r="F36" s="21">
        <f>E36*C8*B36</f>
        <v>568320</v>
      </c>
      <c r="G36" s="25">
        <v>40</v>
      </c>
      <c r="H36" s="25">
        <v>8</v>
      </c>
      <c r="I36" s="25">
        <v>60</v>
      </c>
      <c r="J36" s="25">
        <v>60</v>
      </c>
    </row>
    <row r="37" spans="1:10">
      <c r="A37" s="23"/>
      <c r="B37" s="7"/>
      <c r="C37" s="7"/>
      <c r="D37" s="7"/>
      <c r="E37" s="7" t="s">
        <v>12</v>
      </c>
      <c r="F37" s="21"/>
      <c r="G37" s="43" t="s">
        <v>65</v>
      </c>
      <c r="I37" s="42"/>
    </row>
    <row r="38" spans="1:10">
      <c r="A38" s="23" t="s">
        <v>43</v>
      </c>
      <c r="B38" s="39">
        <f>B13</f>
        <v>8</v>
      </c>
      <c r="C38" s="39">
        <f>B38*G36*H36</f>
        <v>2560</v>
      </c>
      <c r="D38" s="39">
        <f>(B38*G38*H38)+G40*H40*B38</f>
        <v>2048</v>
      </c>
      <c r="E38" s="7">
        <f>I36</f>
        <v>60</v>
      </c>
      <c r="F38" s="21">
        <f>C16*E38*B38</f>
        <v>122880</v>
      </c>
      <c r="G38" s="25">
        <v>64</v>
      </c>
      <c r="H38" s="25">
        <v>4</v>
      </c>
    </row>
    <row r="39" spans="1:10">
      <c r="A39" s="23"/>
      <c r="B39" s="7"/>
      <c r="C39" s="7"/>
      <c r="D39" s="7"/>
      <c r="E39" s="7"/>
      <c r="F39" s="21"/>
      <c r="G39" s="43" t="s">
        <v>66</v>
      </c>
      <c r="H39" s="25"/>
    </row>
    <row r="40" spans="1:10">
      <c r="A40" s="23" t="s">
        <v>48</v>
      </c>
      <c r="B40" s="7">
        <f>B20</f>
        <v>4</v>
      </c>
      <c r="C40" s="7">
        <f>G36*H36*B40</f>
        <v>1280</v>
      </c>
      <c r="D40" s="7">
        <f>B40*G38*H38+G40*H40*B40</f>
        <v>1024</v>
      </c>
      <c r="E40" s="7">
        <f>J36</f>
        <v>60</v>
      </c>
      <c r="F40" s="21">
        <f>E40*C23*B40</f>
        <v>61440</v>
      </c>
      <c r="G40" s="25">
        <v>0</v>
      </c>
      <c r="H40" s="25">
        <v>12</v>
      </c>
    </row>
    <row r="41" spans="1:10" ht="11.25" customHeight="1">
      <c r="A41" s="23"/>
      <c r="B41" s="7"/>
      <c r="C41" s="7"/>
      <c r="D41" s="7"/>
      <c r="E41" s="7"/>
      <c r="F41" s="21"/>
    </row>
    <row r="42" spans="1:10">
      <c r="A42" s="23" t="s">
        <v>27</v>
      </c>
      <c r="B42" s="7">
        <f>B27</f>
        <v>1</v>
      </c>
      <c r="C42" s="7">
        <f>G36*H36*B42</f>
        <v>320</v>
      </c>
      <c r="D42" s="7">
        <f>(B42*G38*H38)+G40*H40*B42</f>
        <v>256</v>
      </c>
      <c r="E42" s="7">
        <f>J36</f>
        <v>60</v>
      </c>
      <c r="F42" s="21">
        <f>C30*E42*B42</f>
        <v>15360</v>
      </c>
    </row>
    <row r="43" spans="1:10">
      <c r="B43" s="7"/>
      <c r="C43" s="7"/>
      <c r="D43" s="7" t="s">
        <v>12</v>
      </c>
      <c r="E43" s="7"/>
      <c r="F43" s="8" t="s">
        <v>12</v>
      </c>
      <c r="G43" s="19" t="s">
        <v>73</v>
      </c>
    </row>
    <row r="44" spans="1:10">
      <c r="A44" t="s">
        <v>61</v>
      </c>
      <c r="B44" s="7">
        <v>0</v>
      </c>
      <c r="C44" s="7">
        <f>B44*G36*15</f>
        <v>0</v>
      </c>
      <c r="D44" s="7">
        <f>B44*H36*15</f>
        <v>0</v>
      </c>
      <c r="E44" s="7"/>
      <c r="F44" s="21"/>
      <c r="G44" s="9" t="s">
        <v>63</v>
      </c>
      <c r="H44" s="19" t="s">
        <v>64</v>
      </c>
    </row>
    <row r="45" spans="1:10">
      <c r="B45" s="7"/>
      <c r="C45" s="7"/>
      <c r="G45" s="25">
        <f>SUM(G36)</f>
        <v>40</v>
      </c>
      <c r="H45" s="25">
        <v>8</v>
      </c>
    </row>
    <row r="46" spans="1:10">
      <c r="A46" s="9" t="s">
        <v>14</v>
      </c>
      <c r="B46" s="6" t="s">
        <v>84</v>
      </c>
      <c r="C46" s="6" t="s">
        <v>85</v>
      </c>
      <c r="D46" s="10" t="s">
        <v>86</v>
      </c>
      <c r="E46" s="24" t="s">
        <v>87</v>
      </c>
      <c r="G46" s="43" t="s">
        <v>65</v>
      </c>
    </row>
    <row r="47" spans="1:10">
      <c r="A47" t="s">
        <v>25</v>
      </c>
      <c r="B47" s="40">
        <f>'Labor Rates'!J18</f>
        <v>41.845000000000006</v>
      </c>
      <c r="C47" s="30">
        <f>'Labor Rates'!J29</f>
        <v>56.767500000000005</v>
      </c>
      <c r="D47" s="27">
        <f>'Labor Rates'!M18</f>
        <v>60.34049000000001</v>
      </c>
      <c r="E47" s="21">
        <f>'Labor Rates'!M29</f>
        <v>76.636125000000007</v>
      </c>
      <c r="G47" s="25">
        <f>SUM(G38)</f>
        <v>64</v>
      </c>
      <c r="H47" s="25">
        <v>4</v>
      </c>
    </row>
    <row r="48" spans="1:10">
      <c r="A48" t="s">
        <v>43</v>
      </c>
      <c r="B48" s="40">
        <f>'Labor Rates'!J17</f>
        <v>48.152500000000003</v>
      </c>
      <c r="C48" s="30">
        <f>'Labor Rates'!J28</f>
        <v>66.228749999999991</v>
      </c>
      <c r="D48" s="27">
        <f>'Labor Rates'!M17</f>
        <v>69.435905000000005</v>
      </c>
      <c r="E48" s="21">
        <f>'Labor Rates'!M28</f>
        <v>89.408812499999982</v>
      </c>
      <c r="G48" s="43" t="s">
        <v>66</v>
      </c>
      <c r="H48" s="25"/>
    </row>
    <row r="49" spans="1:9">
      <c r="A49" t="s">
        <v>52</v>
      </c>
      <c r="B49" s="40">
        <f>'Labor Rates'!J19</f>
        <v>85.997499999999988</v>
      </c>
      <c r="C49" s="37">
        <v>85</v>
      </c>
      <c r="D49" s="27">
        <v>165</v>
      </c>
      <c r="E49" s="27">
        <f>D49</f>
        <v>165</v>
      </c>
      <c r="G49" s="25">
        <f>SUM(G40)</f>
        <v>0</v>
      </c>
      <c r="H49" s="25">
        <f>SUM(H40)</f>
        <v>12</v>
      </c>
    </row>
    <row r="50" spans="1:9">
      <c r="A50" t="s">
        <v>27</v>
      </c>
      <c r="B50" s="41">
        <v>96.31</v>
      </c>
      <c r="C50" s="37">
        <v>110</v>
      </c>
      <c r="D50" s="27">
        <v>185</v>
      </c>
      <c r="E50" s="27">
        <v>185</v>
      </c>
      <c r="G50" s="43"/>
    </row>
    <row r="52" spans="1:9">
      <c r="A52" s="2" t="s">
        <v>82</v>
      </c>
    </row>
    <row r="53" spans="1:9">
      <c r="B53" s="10" t="s">
        <v>15</v>
      </c>
      <c r="C53" s="10" t="s">
        <v>16</v>
      </c>
      <c r="D53" s="10" t="s">
        <v>17</v>
      </c>
      <c r="E53" s="10" t="s">
        <v>18</v>
      </c>
      <c r="F53" s="10" t="s">
        <v>2</v>
      </c>
      <c r="G53" s="10" t="s">
        <v>19</v>
      </c>
      <c r="H53" s="10"/>
    </row>
    <row r="54" spans="1:9">
      <c r="A54" s="23" t="s">
        <v>25</v>
      </c>
      <c r="B54" s="7">
        <f>C36</f>
        <v>11840</v>
      </c>
      <c r="C54" s="21">
        <f>B54*B47</f>
        <v>495444.80000000005</v>
      </c>
      <c r="D54" s="7">
        <f>D36</f>
        <v>9472</v>
      </c>
      <c r="E54" s="21">
        <f>D54*C47</f>
        <v>537701.76</v>
      </c>
      <c r="F54" s="21">
        <f>F36</f>
        <v>568320</v>
      </c>
      <c r="G54" s="21">
        <f>E11</f>
        <v>154500</v>
      </c>
      <c r="H54" s="3" t="s">
        <v>12</v>
      </c>
    </row>
    <row r="55" spans="1:9">
      <c r="A55" s="23" t="s">
        <v>43</v>
      </c>
      <c r="B55" s="7">
        <f>C38</f>
        <v>2560</v>
      </c>
      <c r="C55" s="21">
        <f>B55*B48</f>
        <v>123270.40000000001</v>
      </c>
      <c r="D55" s="7">
        <f>D38</f>
        <v>2048</v>
      </c>
      <c r="E55" s="21">
        <f>C48*D55</f>
        <v>135636.47999999998</v>
      </c>
      <c r="F55" s="21">
        <f>F38</f>
        <v>122880</v>
      </c>
      <c r="G55" s="21">
        <f>E19</f>
        <v>109871.59168</v>
      </c>
      <c r="H55" t="s">
        <v>12</v>
      </c>
    </row>
    <row r="56" spans="1:9">
      <c r="A56" s="23" t="s">
        <v>48</v>
      </c>
      <c r="B56" s="7">
        <f>C40+C44</f>
        <v>1280</v>
      </c>
      <c r="C56" s="21">
        <f>SUM(B56*B49)</f>
        <v>110076.79999999999</v>
      </c>
      <c r="D56" s="7">
        <f>D40+D44</f>
        <v>1024</v>
      </c>
      <c r="E56" s="21">
        <f>SUM(D56*C49)</f>
        <v>87040</v>
      </c>
      <c r="F56" s="21">
        <f>F40+F44</f>
        <v>61440</v>
      </c>
      <c r="G56" s="21">
        <f>E26</f>
        <v>56031.68</v>
      </c>
    </row>
    <row r="57" spans="1:9">
      <c r="A57" s="23" t="s">
        <v>27</v>
      </c>
      <c r="B57" s="7">
        <f>C42</f>
        <v>320</v>
      </c>
      <c r="C57" s="21">
        <f>B57*B50</f>
        <v>30819.200000000001</v>
      </c>
      <c r="D57" s="7">
        <f>D42</f>
        <v>256</v>
      </c>
      <c r="E57" s="21">
        <f>D57*C50</f>
        <v>28160</v>
      </c>
      <c r="F57" s="21">
        <f>F42</f>
        <v>15360</v>
      </c>
      <c r="G57" s="21">
        <f>E32</f>
        <v>15190.08</v>
      </c>
      <c r="H57" s="3" t="s">
        <v>12</v>
      </c>
    </row>
    <row r="58" spans="1:9">
      <c r="A58" s="23" t="s">
        <v>53</v>
      </c>
      <c r="B58" s="7">
        <f t="shared" ref="B58:G58" si="0">SUM(B54:B57)</f>
        <v>16000</v>
      </c>
      <c r="C58" s="21">
        <f t="shared" si="0"/>
        <v>759611.2</v>
      </c>
      <c r="D58" s="7">
        <f t="shared" si="0"/>
        <v>12800</v>
      </c>
      <c r="E58" s="21">
        <f t="shared" si="0"/>
        <v>788538.24</v>
      </c>
      <c r="F58" s="21">
        <f t="shared" si="0"/>
        <v>768000</v>
      </c>
      <c r="G58" s="21">
        <f t="shared" si="0"/>
        <v>335593.35168000002</v>
      </c>
    </row>
    <row r="59" spans="1:9">
      <c r="B59" s="7"/>
      <c r="C59" s="3" t="s">
        <v>12</v>
      </c>
      <c r="E59" s="3" t="s">
        <v>12</v>
      </c>
      <c r="F59" s="3" t="s">
        <v>12</v>
      </c>
      <c r="G59" s="3" t="s">
        <v>12</v>
      </c>
      <c r="H59" s="3" t="s">
        <v>12</v>
      </c>
      <c r="I59" s="9"/>
    </row>
    <row r="60" spans="1:9" ht="15.75">
      <c r="A60" s="51" t="s">
        <v>92</v>
      </c>
      <c r="B60" s="52">
        <v>1.45</v>
      </c>
      <c r="C60" s="3"/>
      <c r="E60" s="3"/>
      <c r="F60" s="3"/>
      <c r="G60" s="3"/>
      <c r="H60" s="3"/>
      <c r="I60" s="9"/>
    </row>
    <row r="61" spans="1:9">
      <c r="A61" s="2" t="s">
        <v>83</v>
      </c>
      <c r="H61" s="3"/>
      <c r="I61" s="9"/>
    </row>
    <row r="62" spans="1:9">
      <c r="B62" s="10" t="s">
        <v>15</v>
      </c>
      <c r="C62" s="10" t="s">
        <v>16</v>
      </c>
      <c r="D62" s="10" t="s">
        <v>17</v>
      </c>
      <c r="E62" s="10" t="s">
        <v>18</v>
      </c>
      <c r="F62" s="10" t="s">
        <v>2</v>
      </c>
      <c r="G62" s="10" t="s">
        <v>19</v>
      </c>
      <c r="H62" s="3"/>
      <c r="I62" s="9"/>
    </row>
    <row r="63" spans="1:9">
      <c r="A63" s="23" t="s">
        <v>25</v>
      </c>
      <c r="B63" s="7">
        <f>C36</f>
        <v>11840</v>
      </c>
      <c r="C63" s="21">
        <f>B63*D47</f>
        <v>714431.4016000001</v>
      </c>
      <c r="D63" s="7">
        <f>D54</f>
        <v>9472</v>
      </c>
      <c r="E63" s="21">
        <f>D63*E47</f>
        <v>725897.37600000005</v>
      </c>
      <c r="F63" s="21">
        <f>F54*B60</f>
        <v>824064</v>
      </c>
      <c r="G63" s="21">
        <f>G54*1.15</f>
        <v>177675</v>
      </c>
      <c r="H63" s="3"/>
      <c r="I63" s="9"/>
    </row>
    <row r="64" spans="1:9">
      <c r="A64" s="23" t="s">
        <v>43</v>
      </c>
      <c r="B64" s="7">
        <f>C38</f>
        <v>2560</v>
      </c>
      <c r="C64" s="21">
        <f>B64*D48</f>
        <v>177755.91680000001</v>
      </c>
      <c r="D64" s="7">
        <f>D55</f>
        <v>2048</v>
      </c>
      <c r="E64" s="21">
        <f>D64*E48</f>
        <v>183109.24799999996</v>
      </c>
      <c r="F64" s="21">
        <f>F55*B60</f>
        <v>178176</v>
      </c>
      <c r="G64" s="21">
        <f t="shared" ref="F64:G67" si="1">G55*1.15</f>
        <v>126352.33043199999</v>
      </c>
      <c r="H64" s="3"/>
      <c r="I64" s="9"/>
    </row>
    <row r="65" spans="1:9">
      <c r="A65" s="23" t="s">
        <v>48</v>
      </c>
      <c r="B65" s="7">
        <f>C40+C44</f>
        <v>1280</v>
      </c>
      <c r="C65" s="21">
        <f>B65*D49</f>
        <v>211200</v>
      </c>
      <c r="D65" s="7">
        <f>D56</f>
        <v>1024</v>
      </c>
      <c r="E65" s="21">
        <f>D65*E49</f>
        <v>168960</v>
      </c>
      <c r="F65" s="21">
        <f>F56*B60</f>
        <v>89088</v>
      </c>
      <c r="G65" s="21">
        <f t="shared" si="1"/>
        <v>64436.431999999993</v>
      </c>
      <c r="H65" s="3"/>
      <c r="I65" s="9"/>
    </row>
    <row r="66" spans="1:9">
      <c r="A66" s="23" t="s">
        <v>27</v>
      </c>
      <c r="B66" s="7">
        <f>+C42</f>
        <v>320</v>
      </c>
      <c r="C66" s="21">
        <f>D50*B66</f>
        <v>59200</v>
      </c>
      <c r="D66" s="7">
        <f>D57</f>
        <v>256</v>
      </c>
      <c r="E66" s="21">
        <f>D66*E50</f>
        <v>47360</v>
      </c>
      <c r="F66" s="21">
        <f>F57*B60</f>
        <v>22272</v>
      </c>
      <c r="G66" s="21">
        <f t="shared" si="1"/>
        <v>17468.591999999997</v>
      </c>
      <c r="H66" s="3"/>
      <c r="I66" s="9"/>
    </row>
    <row r="67" spans="1:9">
      <c r="A67" s="23" t="s">
        <v>53</v>
      </c>
      <c r="B67" s="7">
        <f>SUM(B63:B66)</f>
        <v>16000</v>
      </c>
      <c r="C67" s="21">
        <f>SUM(C63:C66)</f>
        <v>1162587.3184000002</v>
      </c>
      <c r="D67" s="7">
        <f>D58</f>
        <v>12800</v>
      </c>
      <c r="E67" s="21">
        <f>SUM(E63:E66)</f>
        <v>1125326.6240000001</v>
      </c>
      <c r="F67" s="21">
        <f t="shared" si="1"/>
        <v>883199.99999999988</v>
      </c>
      <c r="G67" s="21">
        <f>SUM(G63:G66)</f>
        <v>385932.35443199996</v>
      </c>
      <c r="H67" s="3"/>
      <c r="I67" s="9"/>
    </row>
    <row r="68" spans="1:9">
      <c r="B68" s="7"/>
      <c r="C68" s="3"/>
      <c r="E68" s="3"/>
      <c r="F68" s="3"/>
      <c r="G68" s="3"/>
      <c r="H68" s="3"/>
      <c r="I68" s="9"/>
    </row>
    <row r="69" spans="1:9">
      <c r="B69" s="7"/>
      <c r="C69" s="3"/>
      <c r="E69" s="3"/>
      <c r="F69" s="3"/>
      <c r="G69" s="3"/>
      <c r="H69" s="3"/>
      <c r="I69" s="9"/>
    </row>
    <row r="70" spans="1:9">
      <c r="B70" s="19" t="s">
        <v>88</v>
      </c>
      <c r="C70" s="8" t="s">
        <v>89</v>
      </c>
      <c r="E70" s="3"/>
      <c r="F70" s="3"/>
      <c r="G70" s="3"/>
      <c r="H70" s="3"/>
      <c r="I70" s="9"/>
    </row>
    <row r="71" spans="1:9">
      <c r="A71" s="9" t="s">
        <v>54</v>
      </c>
      <c r="B71" s="19">
        <f>C36+D36+C38+D38</f>
        <v>25920</v>
      </c>
      <c r="C71" s="3"/>
      <c r="E71" s="3"/>
      <c r="F71" s="3"/>
      <c r="G71" s="3"/>
      <c r="H71" s="3"/>
      <c r="I71" s="19"/>
    </row>
    <row r="72" spans="1:9">
      <c r="A72" s="9" t="s">
        <v>55</v>
      </c>
      <c r="B72" s="19">
        <f>B56+D56+B57+D57</f>
        <v>2880</v>
      </c>
      <c r="C72" s="3" t="s">
        <v>12</v>
      </c>
      <c r="E72" s="3" t="s">
        <v>12</v>
      </c>
    </row>
    <row r="73" spans="1:9">
      <c r="A73" s="9"/>
      <c r="B73" s="19"/>
      <c r="C73" s="3"/>
      <c r="E73" s="3"/>
    </row>
    <row r="74" spans="1:9">
      <c r="A74" s="9" t="s">
        <v>90</v>
      </c>
      <c r="B74" s="44">
        <f>C54+E54+C55+E55</f>
        <v>1292053.44</v>
      </c>
      <c r="C74" s="44">
        <f>C63+C64+E63+E64</f>
        <v>1801193.9424000001</v>
      </c>
      <c r="E74" s="3"/>
    </row>
    <row r="75" spans="1:9">
      <c r="A75" s="48"/>
      <c r="B75" s="44"/>
      <c r="C75" s="3"/>
      <c r="E75" s="3"/>
    </row>
    <row r="76" spans="1:9">
      <c r="A76" s="9"/>
      <c r="B76" s="44"/>
      <c r="C76" s="3"/>
      <c r="E76" s="3"/>
    </row>
    <row r="77" spans="1:9">
      <c r="A77" s="9" t="s">
        <v>91</v>
      </c>
      <c r="B77" s="22">
        <f>C56+E56</f>
        <v>197116.79999999999</v>
      </c>
      <c r="C77" s="8">
        <f>C65+E65</f>
        <v>380160</v>
      </c>
      <c r="E77" s="3"/>
    </row>
    <row r="78" spans="1:9">
      <c r="A78" s="9"/>
      <c r="B78" s="22"/>
      <c r="C78" s="3"/>
      <c r="E78" s="3"/>
    </row>
    <row r="79" spans="1:9">
      <c r="A79" s="9" t="s">
        <v>77</v>
      </c>
      <c r="B79" s="22">
        <f>B77+B74</f>
        <v>1489170.24</v>
      </c>
      <c r="C79" s="22">
        <f>C77+C74</f>
        <v>2181353.9424000001</v>
      </c>
      <c r="E79" s="3"/>
    </row>
    <row r="80" spans="1:9">
      <c r="A80" s="9"/>
      <c r="B80" s="22"/>
      <c r="C80" s="3"/>
      <c r="E80" s="3"/>
    </row>
    <row r="81" spans="1:9">
      <c r="A81" s="9" t="s">
        <v>2</v>
      </c>
      <c r="B81" s="22">
        <f>F58</f>
        <v>768000</v>
      </c>
      <c r="C81" s="8">
        <f>F67</f>
        <v>883199.99999999988</v>
      </c>
      <c r="E81" s="3"/>
    </row>
    <row r="82" spans="1:9">
      <c r="A82" s="9" t="s">
        <v>76</v>
      </c>
      <c r="B82" s="22">
        <f>G58</f>
        <v>335593.35168000002</v>
      </c>
      <c r="C82" s="8">
        <f>G67</f>
        <v>385932.35443199996</v>
      </c>
      <c r="E82" s="3"/>
    </row>
    <row r="83" spans="1:9">
      <c r="A83" s="9" t="s">
        <v>20</v>
      </c>
      <c r="B83" s="22">
        <f>SUM(B81:B82)</f>
        <v>1103593.3516800001</v>
      </c>
      <c r="C83" s="22">
        <f>SUM(C81:C82)</f>
        <v>1269132.3544319998</v>
      </c>
      <c r="E83" s="3"/>
    </row>
    <row r="84" spans="1:9">
      <c r="A84" s="48"/>
      <c r="B84" s="22"/>
      <c r="C84" s="3"/>
      <c r="E84" s="3"/>
    </row>
    <row r="85" spans="1:9">
      <c r="A85" s="9"/>
      <c r="B85" s="22"/>
      <c r="C85" s="3"/>
      <c r="E85" s="3"/>
    </row>
    <row r="86" spans="1:9">
      <c r="A86" s="9"/>
      <c r="B86" s="22"/>
      <c r="C86" s="3"/>
      <c r="E86" s="3"/>
    </row>
    <row r="87" spans="1:9">
      <c r="A87" t="s">
        <v>20</v>
      </c>
      <c r="B87" s="22">
        <f>B79+B83</f>
        <v>2592763.5916800001</v>
      </c>
      <c r="C87" s="22">
        <f>C79+C83</f>
        <v>3450486.2968319999</v>
      </c>
      <c r="E87" s="3" t="s">
        <v>12</v>
      </c>
    </row>
    <row r="88" spans="1:9">
      <c r="I88" s="9"/>
    </row>
    <row r="89" spans="1:9">
      <c r="A89" s="9" t="s">
        <v>49</v>
      </c>
      <c r="I89" s="9"/>
    </row>
    <row r="90" spans="1:9">
      <c r="A90" s="50" t="s">
        <v>96</v>
      </c>
      <c r="B90" s="46">
        <v>35000</v>
      </c>
      <c r="C90" s="27">
        <f>B90*B60</f>
        <v>50750</v>
      </c>
      <c r="I90" s="9"/>
    </row>
    <row r="91" spans="1:9">
      <c r="A91" s="50" t="s">
        <v>81</v>
      </c>
      <c r="B91" s="46">
        <v>95000</v>
      </c>
      <c r="C91" s="27">
        <f>B91*B60</f>
        <v>137750</v>
      </c>
      <c r="I91" s="19"/>
    </row>
    <row r="92" spans="1:9">
      <c r="A92" s="50" t="s">
        <v>105</v>
      </c>
      <c r="B92" s="46"/>
      <c r="C92" s="27">
        <f>B92*B60</f>
        <v>0</v>
      </c>
      <c r="D92" s="63"/>
      <c r="E92" s="59"/>
    </row>
    <row r="93" spans="1:9">
      <c r="A93" s="71" t="s">
        <v>122</v>
      </c>
      <c r="B93" s="46">
        <v>65000</v>
      </c>
      <c r="C93" s="27">
        <f>B93*B60</f>
        <v>94250</v>
      </c>
    </row>
    <row r="94" spans="1:9">
      <c r="A94" s="68" t="s">
        <v>114</v>
      </c>
      <c r="B94" s="61"/>
      <c r="C94" s="62">
        <f>B94*B60</f>
        <v>0</v>
      </c>
    </row>
    <row r="95" spans="1:9">
      <c r="A95" s="69" t="s">
        <v>115</v>
      </c>
      <c r="B95" s="61"/>
      <c r="C95" s="62">
        <f>B95*B60</f>
        <v>0</v>
      </c>
    </row>
    <row r="96" spans="1:9">
      <c r="A96" s="9" t="s">
        <v>20</v>
      </c>
      <c r="B96" s="44">
        <f>SUM(B90:B95)</f>
        <v>195000</v>
      </c>
      <c r="C96" s="44">
        <f>SUM(C90:C95)</f>
        <v>282750</v>
      </c>
    </row>
    <row r="97" spans="1:9">
      <c r="A97" s="48"/>
      <c r="B97" s="44"/>
    </row>
    <row r="98" spans="1:9">
      <c r="A98" s="23"/>
      <c r="B98" s="44"/>
    </row>
    <row r="99" spans="1:9">
      <c r="B99" s="21"/>
    </row>
    <row r="100" spans="1:9">
      <c r="A100" t="s">
        <v>22</v>
      </c>
      <c r="B100" s="22">
        <f>B87+B96</f>
        <v>2787763.5916800001</v>
      </c>
      <c r="C100" s="53">
        <f>C87+C96</f>
        <v>3733236.2968319999</v>
      </c>
    </row>
    <row r="101" spans="1:9">
      <c r="B101" s="3"/>
    </row>
    <row r="102" spans="1:9">
      <c r="A102" s="23" t="s">
        <v>100</v>
      </c>
      <c r="B102" s="22">
        <f>SUM(B100*0.03)</f>
        <v>83632.907750400002</v>
      </c>
      <c r="C102" s="22">
        <f>SUM(B102)</f>
        <v>83632.907750400002</v>
      </c>
    </row>
    <row r="103" spans="1:9">
      <c r="B103" s="21"/>
    </row>
    <row r="104" spans="1:9">
      <c r="A104" t="s">
        <v>93</v>
      </c>
      <c r="B104" s="22">
        <f>B100</f>
        <v>2787763.5916800001</v>
      </c>
      <c r="C104" s="53">
        <f>SUM(C100:C102)</f>
        <v>3816869.2045823997</v>
      </c>
      <c r="G104" s="27"/>
    </row>
    <row r="105" spans="1:9">
      <c r="B105" s="21"/>
      <c r="G105" s="27"/>
    </row>
    <row r="106" spans="1:9">
      <c r="A106" s="9" t="s">
        <v>58</v>
      </c>
      <c r="B106" s="21"/>
      <c r="G106" s="27"/>
    </row>
    <row r="107" spans="1:9">
      <c r="A107" s="72" t="s">
        <v>123</v>
      </c>
      <c r="B107" s="26">
        <v>1250000</v>
      </c>
      <c r="C107" s="27">
        <f>B107*B60</f>
        <v>1812500</v>
      </c>
      <c r="D107" s="77"/>
      <c r="E107" s="77"/>
      <c r="F107" s="77"/>
      <c r="G107" s="77"/>
      <c r="H107" s="59"/>
      <c r="I107" s="59"/>
    </row>
    <row r="108" spans="1:9">
      <c r="A108" s="50" t="s">
        <v>103</v>
      </c>
      <c r="B108" s="26"/>
      <c r="C108" s="27">
        <f>B108*B60</f>
        <v>0</v>
      </c>
      <c r="D108" s="77"/>
      <c r="E108" s="77"/>
      <c r="F108" s="77"/>
      <c r="G108" s="27"/>
      <c r="H108" s="56"/>
    </row>
    <row r="109" spans="1:9">
      <c r="A109" s="50" t="s">
        <v>107</v>
      </c>
      <c r="B109" s="26">
        <v>0</v>
      </c>
      <c r="C109" s="27">
        <f>B109*B60</f>
        <v>0</v>
      </c>
      <c r="D109" s="78"/>
      <c r="E109" s="78"/>
      <c r="F109" s="78"/>
      <c r="G109" s="27"/>
      <c r="H109" s="74"/>
    </row>
    <row r="110" spans="1:9">
      <c r="A110" s="50" t="s">
        <v>108</v>
      </c>
      <c r="B110" s="26"/>
      <c r="C110" s="27">
        <f>B110*B60</f>
        <v>0</v>
      </c>
      <c r="D110" s="78"/>
      <c r="E110" s="78"/>
      <c r="F110" s="78"/>
      <c r="G110" s="27"/>
      <c r="H110" s="75"/>
    </row>
    <row r="111" spans="1:9">
      <c r="A111" s="38" t="s">
        <v>109</v>
      </c>
      <c r="B111" s="26"/>
      <c r="C111" s="27">
        <f>B111*B60</f>
        <v>0</v>
      </c>
      <c r="D111" s="80"/>
      <c r="E111" s="80"/>
      <c r="F111" s="80"/>
      <c r="G111" s="64"/>
      <c r="H111" s="57"/>
    </row>
    <row r="112" spans="1:9">
      <c r="A112" s="66" t="s">
        <v>112</v>
      </c>
      <c r="B112" s="26"/>
      <c r="C112" s="27">
        <f>B112*B60</f>
        <v>0</v>
      </c>
      <c r="D112" s="77"/>
      <c r="E112" s="78"/>
      <c r="F112" s="32"/>
      <c r="G112" s="27"/>
      <c r="H112" s="32"/>
    </row>
    <row r="113" spans="1:8">
      <c r="A113" s="50" t="s">
        <v>104</v>
      </c>
      <c r="B113" s="26">
        <v>10000</v>
      </c>
      <c r="C113" s="27">
        <f>B113*B60</f>
        <v>14500</v>
      </c>
      <c r="D113" s="59"/>
      <c r="E113" s="58"/>
      <c r="F113" s="58"/>
      <c r="G113" s="27"/>
      <c r="H113" s="56"/>
    </row>
    <row r="114" spans="1:8">
      <c r="A114" s="9" t="s">
        <v>60</v>
      </c>
      <c r="B114" s="21">
        <f>SUM(B107:B113)</f>
        <v>1260000</v>
      </c>
      <c r="C114" s="27">
        <f>SUM(C107:C113)</f>
        <v>1827000</v>
      </c>
      <c r="G114" s="27"/>
    </row>
    <row r="115" spans="1:8">
      <c r="A115" s="49"/>
      <c r="B115" s="21"/>
    </row>
    <row r="116" spans="1:8">
      <c r="A116" s="38"/>
      <c r="B116" s="21"/>
      <c r="G116" s="27"/>
    </row>
    <row r="118" spans="1:8">
      <c r="A118" s="9" t="s">
        <v>102</v>
      </c>
      <c r="G118" s="3"/>
    </row>
    <row r="119" spans="1:8">
      <c r="A119" s="23" t="s">
        <v>101</v>
      </c>
      <c r="B119" s="22">
        <f>SUM(C104-B104)*0.05+(C114-B114)*0.05</f>
        <v>79805.280645119987</v>
      </c>
    </row>
    <row r="120" spans="1:8">
      <c r="A120" s="23"/>
      <c r="B120" s="22"/>
    </row>
    <row r="121" spans="1:8">
      <c r="A121" s="23" t="s">
        <v>59</v>
      </c>
      <c r="B121" s="22">
        <f>SUM(B119:B120)</f>
        <v>79805.280645119987</v>
      </c>
    </row>
    <row r="122" spans="1:8">
      <c r="B122" s="8"/>
    </row>
  </sheetData>
  <mergeCells count="9">
    <mergeCell ref="H109:H110"/>
    <mergeCell ref="B1:D1"/>
    <mergeCell ref="D112:E112"/>
    <mergeCell ref="D109:F109"/>
    <mergeCell ref="E1:G1"/>
    <mergeCell ref="D111:F111"/>
    <mergeCell ref="D108:F108"/>
    <mergeCell ref="D107:G107"/>
    <mergeCell ref="D110:F110"/>
  </mergeCells>
  <phoneticPr fontId="0" type="noConversion"/>
  <pageMargins left="0.25" right="0.25" top="1" bottom="1" header="0.5" footer="0.5"/>
  <pageSetup scale="70" orientation="landscape" r:id="rId1"/>
  <headerFooter alignWithMargins="0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H47"/>
  <sheetViews>
    <sheetView tabSelected="1" workbookViewId="0">
      <selection activeCell="A30" sqref="A30"/>
    </sheetView>
  </sheetViews>
  <sheetFormatPr defaultRowHeight="12.75"/>
  <cols>
    <col min="1" max="1" width="34.7109375" customWidth="1"/>
    <col min="2" max="2" width="21" customWidth="1"/>
    <col min="3" max="3" width="21.28515625" customWidth="1"/>
    <col min="4" max="4" width="13.85546875" customWidth="1"/>
    <col min="5" max="5" width="12" customWidth="1"/>
    <col min="8" max="8" width="12.5703125" customWidth="1"/>
  </cols>
  <sheetData>
    <row r="1" spans="1:5">
      <c r="A1" s="9" t="s">
        <v>47</v>
      </c>
    </row>
    <row r="2" spans="1:5">
      <c r="A2" s="2"/>
      <c r="B2" s="2" t="s">
        <v>94</v>
      </c>
      <c r="C2" s="2" t="s">
        <v>95</v>
      </c>
      <c r="D2" t="s">
        <v>79</v>
      </c>
      <c r="E2" t="s">
        <v>80</v>
      </c>
    </row>
    <row r="3" spans="1:5">
      <c r="D3" s="25"/>
    </row>
    <row r="4" spans="1:5">
      <c r="A4" s="9" t="s">
        <v>70</v>
      </c>
      <c r="B4" s="53">
        <f>'Cost Sheet'!B74</f>
        <v>1292053.44</v>
      </c>
      <c r="C4" s="22">
        <f>'Cost Sheet'!C74</f>
        <v>1801193.9424000001</v>
      </c>
      <c r="D4" s="26">
        <f>C4-B4</f>
        <v>509140.50240000011</v>
      </c>
      <c r="E4" s="45">
        <f>D4/C4</f>
        <v>0.28266834037960181</v>
      </c>
    </row>
    <row r="5" spans="1:5">
      <c r="C5" s="22"/>
      <c r="D5" s="26"/>
      <c r="E5" s="45"/>
    </row>
    <row r="6" spans="1:5">
      <c r="A6" s="9" t="s">
        <v>78</v>
      </c>
      <c r="B6" s="53">
        <f>'Cost Sheet'!B83</f>
        <v>1103593.3516800001</v>
      </c>
      <c r="C6" s="22">
        <f>'Cost Sheet'!C83</f>
        <v>1269132.3544319998</v>
      </c>
      <c r="D6" s="26">
        <f t="shared" ref="D6:D18" si="0">C6-B6</f>
        <v>165539.00275199977</v>
      </c>
      <c r="E6" s="45">
        <f>D6/C6</f>
        <v>0.13043478260869548</v>
      </c>
    </row>
    <row r="7" spans="1:5">
      <c r="C7" s="22"/>
      <c r="D7" s="26"/>
      <c r="E7" s="45"/>
    </row>
    <row r="8" spans="1:5">
      <c r="A8" s="9" t="s">
        <v>71</v>
      </c>
      <c r="B8" s="53">
        <f>'Cost Sheet'!B77</f>
        <v>197116.79999999999</v>
      </c>
      <c r="C8" s="22">
        <f>'Cost Sheet'!C77</f>
        <v>380160</v>
      </c>
      <c r="D8" s="26">
        <f t="shared" si="0"/>
        <v>183043.20000000001</v>
      </c>
      <c r="E8" s="45">
        <f>D8/C8</f>
        <v>0.48148989898989902</v>
      </c>
    </row>
    <row r="9" spans="1:5">
      <c r="C9" s="22"/>
      <c r="D9" s="26"/>
      <c r="E9" s="45"/>
    </row>
    <row r="10" spans="1:5">
      <c r="A10" s="9" t="s">
        <v>49</v>
      </c>
      <c r="B10" s="53">
        <f>'Cost Sheet'!B96</f>
        <v>195000</v>
      </c>
      <c r="C10" s="22">
        <f>'Cost Sheet'!C96</f>
        <v>282750</v>
      </c>
      <c r="D10" s="26">
        <f t="shared" si="0"/>
        <v>87750</v>
      </c>
      <c r="E10" s="45">
        <f>D10/C10</f>
        <v>0.31034482758620691</v>
      </c>
    </row>
    <row r="11" spans="1:5">
      <c r="C11" s="22"/>
      <c r="D11" s="26"/>
      <c r="E11" s="45"/>
    </row>
    <row r="12" spans="1:5">
      <c r="A12" s="9" t="s">
        <v>98</v>
      </c>
      <c r="B12" s="53">
        <v>0</v>
      </c>
      <c r="C12" s="22">
        <f>'Cost Sheet'!C102</f>
        <v>83632.907750400002</v>
      </c>
      <c r="D12" s="26">
        <f t="shared" si="0"/>
        <v>83632.907750400002</v>
      </c>
      <c r="E12" s="45">
        <v>1</v>
      </c>
    </row>
    <row r="13" spans="1:5">
      <c r="C13" s="22"/>
      <c r="D13" s="26"/>
      <c r="E13" s="45"/>
    </row>
    <row r="14" spans="1:5">
      <c r="A14" s="9" t="str">
        <f>'Cost Sheet'!A106</f>
        <v>Sub Contracts</v>
      </c>
      <c r="B14" s="53">
        <f>'Cost Sheet'!B114</f>
        <v>1260000</v>
      </c>
      <c r="C14" s="22">
        <f>'Cost Sheet'!C114</f>
        <v>1827000</v>
      </c>
      <c r="D14" s="26">
        <f t="shared" si="0"/>
        <v>567000</v>
      </c>
      <c r="E14" s="45">
        <f>D14/C14</f>
        <v>0.31034482758620691</v>
      </c>
    </row>
    <row r="15" spans="1:5">
      <c r="C15" s="22"/>
      <c r="D15" s="26"/>
      <c r="E15" s="45"/>
    </row>
    <row r="16" spans="1:5">
      <c r="A16" s="9" t="str">
        <f>'Cost Sheet'!A118</f>
        <v>Commission</v>
      </c>
      <c r="B16" s="53">
        <f>'Cost Sheet'!B121</f>
        <v>79805.280645119987</v>
      </c>
      <c r="C16" s="22">
        <f>'Cost Sheet'!B121</f>
        <v>79805.280645119987</v>
      </c>
      <c r="D16" s="26">
        <f t="shared" si="0"/>
        <v>0</v>
      </c>
      <c r="E16" s="45">
        <f>D16/C16</f>
        <v>0</v>
      </c>
    </row>
    <row r="17" spans="1:8">
      <c r="A17" s="9"/>
      <c r="B17" s="53"/>
      <c r="C17" s="22"/>
      <c r="D17" s="26"/>
      <c r="E17" s="45"/>
    </row>
    <row r="18" spans="1:8">
      <c r="A18" s="9" t="s">
        <v>111</v>
      </c>
      <c r="B18" s="53">
        <v>0</v>
      </c>
      <c r="C18" s="22">
        <v>0</v>
      </c>
      <c r="D18" s="26">
        <f t="shared" si="0"/>
        <v>0</v>
      </c>
      <c r="E18" s="45" t="e">
        <f>D18/C18</f>
        <v>#DIV/0!</v>
      </c>
    </row>
    <row r="19" spans="1:8">
      <c r="A19" s="9"/>
      <c r="B19" s="53"/>
      <c r="C19" s="22"/>
      <c r="D19" s="26"/>
      <c r="E19" s="45"/>
    </row>
    <row r="20" spans="1:8">
      <c r="A20" s="9" t="s">
        <v>106</v>
      </c>
      <c r="B20" s="22">
        <f>SUM(B4:B18)</f>
        <v>4127568.8723251196</v>
      </c>
      <c r="C20" s="22">
        <f>SUM(C4:C18)</f>
        <v>5723674.4852275196</v>
      </c>
      <c r="D20" s="22">
        <f>SUM(D4:D18)</f>
        <v>1596105.6129023999</v>
      </c>
      <c r="E20" s="45">
        <f>D20/C20</f>
        <v>0.27886030504038239</v>
      </c>
    </row>
    <row r="21" spans="1:8">
      <c r="A21" s="9"/>
    </row>
    <row r="22" spans="1:8">
      <c r="A22" s="9"/>
      <c r="B22" s="53"/>
      <c r="C22" s="53"/>
      <c r="D22" s="26"/>
      <c r="E22" s="45"/>
      <c r="F22" s="81"/>
      <c r="G22" s="81"/>
      <c r="H22" s="81"/>
    </row>
    <row r="24" spans="1:8">
      <c r="A24" s="9" t="s">
        <v>113</v>
      </c>
      <c r="B24" s="22"/>
      <c r="C24" s="22">
        <v>500000</v>
      </c>
      <c r="D24" s="26">
        <f t="shared" ref="D24" si="1">C24-B24</f>
        <v>500000</v>
      </c>
      <c r="E24" s="45">
        <f>D24/C24</f>
        <v>1</v>
      </c>
    </row>
    <row r="25" spans="1:8">
      <c r="A25" s="9"/>
      <c r="B25" s="22"/>
      <c r="C25" s="22"/>
      <c r="D25" s="22"/>
      <c r="E25" s="45"/>
    </row>
    <row r="26" spans="1:8">
      <c r="A26" s="9" t="s">
        <v>110</v>
      </c>
      <c r="B26" s="65"/>
      <c r="C26" s="22"/>
      <c r="D26" s="22"/>
      <c r="E26" s="45"/>
    </row>
    <row r="27" spans="1:8">
      <c r="A27" s="9"/>
      <c r="B27" s="22"/>
      <c r="C27" s="22"/>
      <c r="D27" s="22"/>
      <c r="E27" s="45"/>
    </row>
    <row r="28" spans="1:8">
      <c r="A28" s="9"/>
      <c r="B28" s="22"/>
      <c r="C28" s="22"/>
      <c r="D28" s="22"/>
      <c r="E28" s="45"/>
    </row>
    <row r="29" spans="1:8">
      <c r="A29" s="67" t="s">
        <v>22</v>
      </c>
      <c r="B29" s="22">
        <f>SUM(B20:B24)</f>
        <v>4127568.8723251196</v>
      </c>
      <c r="C29" s="22">
        <f>SUM(C20:C24)</f>
        <v>6223674.4852275196</v>
      </c>
      <c r="D29" s="26">
        <f t="shared" ref="D29" si="2">C29-B29</f>
        <v>2096105.6129024001</v>
      </c>
      <c r="E29" s="45">
        <f>D29/C29</f>
        <v>0.33679550848581574</v>
      </c>
    </row>
    <row r="30" spans="1:8">
      <c r="A30" s="9"/>
      <c r="B30" s="22"/>
      <c r="C30" s="22"/>
      <c r="D30" s="22"/>
      <c r="E30" s="45"/>
    </row>
    <row r="31" spans="1:8">
      <c r="A31" s="9"/>
      <c r="B31" s="22"/>
      <c r="C31" s="22"/>
      <c r="D31" s="22"/>
      <c r="E31" s="45"/>
    </row>
    <row r="32" spans="1:8">
      <c r="A32" s="9"/>
      <c r="B32" s="22"/>
      <c r="C32" s="22"/>
      <c r="D32" s="22"/>
      <c r="E32" s="45"/>
    </row>
    <row r="33" spans="1:5">
      <c r="A33" s="9"/>
      <c r="B33" s="22"/>
      <c r="C33" s="22"/>
      <c r="D33" s="22"/>
      <c r="E33" s="45"/>
    </row>
    <row r="34" spans="1:5">
      <c r="A34" s="9" t="s">
        <v>124</v>
      </c>
      <c r="B34" s="22"/>
      <c r="C34" s="22"/>
      <c r="D34" s="22"/>
      <c r="E34" s="45"/>
    </row>
    <row r="35" spans="1:5">
      <c r="A35" s="9" t="s">
        <v>125</v>
      </c>
      <c r="B35" s="99">
        <v>200000</v>
      </c>
      <c r="C35" s="22"/>
      <c r="D35" s="22"/>
      <c r="E35" s="45"/>
    </row>
    <row r="36" spans="1:5">
      <c r="A36" s="9" t="s">
        <v>126</v>
      </c>
      <c r="B36" s="99">
        <v>3011837</v>
      </c>
      <c r="C36" s="98">
        <v>0.5</v>
      </c>
      <c r="D36" s="22"/>
      <c r="E36" s="45"/>
    </row>
    <row r="37" spans="1:5">
      <c r="A37" s="9" t="s">
        <v>127</v>
      </c>
      <c r="B37" s="99">
        <v>2710653</v>
      </c>
      <c r="C37" s="100">
        <v>0.4</v>
      </c>
      <c r="D37" s="22"/>
      <c r="E37" s="45"/>
    </row>
    <row r="38" spans="1:5">
      <c r="A38" s="9" t="s">
        <v>128</v>
      </c>
      <c r="B38" s="101">
        <v>301184</v>
      </c>
      <c r="C38" s="100">
        <v>0.1</v>
      </c>
      <c r="D38" s="22"/>
      <c r="E38" s="45"/>
    </row>
    <row r="39" spans="1:5">
      <c r="A39" s="9"/>
      <c r="B39" s="22"/>
      <c r="C39" s="22"/>
      <c r="D39" s="22"/>
      <c r="E39" s="45"/>
    </row>
    <row r="40" spans="1:5">
      <c r="A40" s="9"/>
      <c r="B40" s="22"/>
      <c r="C40" s="22"/>
      <c r="D40" s="22"/>
      <c r="E40" s="45"/>
    </row>
    <row r="41" spans="1:5">
      <c r="A41" s="9"/>
      <c r="B41" s="22"/>
      <c r="C41" s="22"/>
      <c r="D41" s="22"/>
      <c r="E41" s="45"/>
    </row>
    <row r="42" spans="1:5">
      <c r="A42" s="9"/>
      <c r="B42" s="22"/>
      <c r="C42" s="22"/>
      <c r="D42" s="22"/>
      <c r="E42" s="45"/>
    </row>
    <row r="43" spans="1:5">
      <c r="A43" s="9"/>
      <c r="B43" s="22"/>
      <c r="C43" s="22"/>
      <c r="D43" s="22"/>
      <c r="E43" s="45"/>
    </row>
    <row r="44" spans="1:5">
      <c r="A44" s="9"/>
      <c r="B44" s="22"/>
      <c r="C44" s="22"/>
      <c r="D44" s="22"/>
      <c r="E44" s="45"/>
    </row>
    <row r="45" spans="1:5">
      <c r="A45" s="9"/>
      <c r="B45" s="22"/>
      <c r="C45" s="22"/>
      <c r="D45" s="22"/>
      <c r="E45" s="45"/>
    </row>
    <row r="46" spans="1:5">
      <c r="A46" s="9"/>
      <c r="B46" s="22"/>
      <c r="C46" s="22"/>
      <c r="D46" s="22"/>
      <c r="E46" s="45"/>
    </row>
    <row r="47" spans="1:5">
      <c r="A47" s="9"/>
    </row>
  </sheetData>
  <mergeCells count="1">
    <mergeCell ref="F22:H22"/>
  </mergeCells>
  <phoneticPr fontId="0" type="noConversion"/>
  <pageMargins left="0.75" right="0.59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30"/>
  <sheetViews>
    <sheetView workbookViewId="0">
      <selection activeCell="L28" sqref="L28"/>
    </sheetView>
  </sheetViews>
  <sheetFormatPr defaultRowHeight="12.75"/>
  <cols>
    <col min="1" max="1" width="17.140625" customWidth="1"/>
    <col min="2" max="2" width="28.7109375" customWidth="1"/>
    <col min="3" max="3" width="11" customWidth="1"/>
    <col min="4" max="4" width="13.5703125" customWidth="1"/>
    <col min="5" max="5" width="14.140625" customWidth="1"/>
  </cols>
  <sheetData>
    <row r="1" spans="1:13" ht="24.75" customHeight="1">
      <c r="A1" s="9" t="s">
        <v>56</v>
      </c>
      <c r="B1" s="60" t="s">
        <v>116</v>
      </c>
      <c r="C1" t="s">
        <v>57</v>
      </c>
      <c r="D1" s="73" t="s">
        <v>118</v>
      </c>
      <c r="E1" s="55">
        <v>6</v>
      </c>
      <c r="F1" s="25">
        <v>1</v>
      </c>
      <c r="G1" s="25">
        <v>12</v>
      </c>
    </row>
    <row r="2" spans="1:13">
      <c r="A2" s="2" t="s">
        <v>24</v>
      </c>
      <c r="D2" s="7"/>
      <c r="E2" s="7" t="s">
        <v>75</v>
      </c>
      <c r="F2" s="7" t="s">
        <v>74</v>
      </c>
      <c r="G2" s="7" t="s">
        <v>99</v>
      </c>
    </row>
    <row r="3" spans="1:13">
      <c r="A3" s="84" t="s">
        <v>121</v>
      </c>
      <c r="B3" s="85"/>
      <c r="D3" s="7"/>
      <c r="E3" s="7"/>
      <c r="F3" s="7"/>
      <c r="G3" s="7"/>
    </row>
    <row r="4" spans="1:13">
      <c r="A4" s="84" t="s">
        <v>119</v>
      </c>
      <c r="B4" s="85"/>
      <c r="D4" s="7"/>
      <c r="E4" s="7"/>
      <c r="F4" s="7"/>
      <c r="G4" s="7"/>
    </row>
    <row r="5" spans="1:13">
      <c r="A5" s="84" t="s">
        <v>120</v>
      </c>
      <c r="B5" s="85"/>
      <c r="D5" s="7"/>
      <c r="E5" s="7"/>
      <c r="F5" s="7"/>
      <c r="G5" s="7"/>
    </row>
    <row r="6" spans="1:13">
      <c r="A6" s="85"/>
      <c r="B6" s="85"/>
    </row>
    <row r="7" spans="1:13">
      <c r="A7" s="85"/>
      <c r="B7" s="85"/>
    </row>
    <row r="8" spans="1:13">
      <c r="A8" s="85"/>
      <c r="B8" s="85"/>
    </row>
    <row r="9" spans="1:13">
      <c r="A9" s="85"/>
      <c r="B9" s="85"/>
    </row>
    <row r="11" spans="1:13" ht="13.5" thickBot="1"/>
    <row r="12" spans="1:13">
      <c r="A12" s="82" t="s">
        <v>28</v>
      </c>
      <c r="B12" s="86" t="s">
        <v>29</v>
      </c>
      <c r="C12" s="92" t="s">
        <v>30</v>
      </c>
      <c r="D12" s="92" t="s">
        <v>31</v>
      </c>
      <c r="E12" s="92" t="s">
        <v>32</v>
      </c>
      <c r="F12" s="96" t="s">
        <v>33</v>
      </c>
      <c r="G12" s="94" t="s">
        <v>34</v>
      </c>
      <c r="H12" s="92" t="s">
        <v>35</v>
      </c>
      <c r="I12" s="92"/>
      <c r="J12" s="92" t="s">
        <v>36</v>
      </c>
      <c r="K12" s="94" t="s">
        <v>37</v>
      </c>
      <c r="L12" s="94"/>
      <c r="M12" s="89" t="s">
        <v>38</v>
      </c>
    </row>
    <row r="13" spans="1:13">
      <c r="A13" s="83"/>
      <c r="B13" s="87"/>
      <c r="C13" s="93"/>
      <c r="D13" s="93"/>
      <c r="E13" s="93"/>
      <c r="F13" s="97"/>
      <c r="G13" s="95"/>
      <c r="H13" s="93"/>
      <c r="I13" s="93"/>
      <c r="J13" s="93"/>
      <c r="K13" s="95"/>
      <c r="L13" s="95"/>
      <c r="M13" s="90"/>
    </row>
    <row r="14" spans="1:13">
      <c r="A14" s="83"/>
      <c r="B14" s="87"/>
      <c r="C14" s="93"/>
      <c r="D14" s="93"/>
      <c r="E14" s="93"/>
      <c r="F14" s="97"/>
      <c r="G14" s="95"/>
      <c r="H14" s="91" t="s">
        <v>39</v>
      </c>
      <c r="I14" s="91" t="s">
        <v>40</v>
      </c>
      <c r="J14" s="93"/>
      <c r="K14" s="91" t="s">
        <v>41</v>
      </c>
      <c r="L14" s="91" t="s">
        <v>42</v>
      </c>
      <c r="M14" s="90"/>
    </row>
    <row r="15" spans="1:13">
      <c r="A15" s="83"/>
      <c r="B15" s="87"/>
      <c r="C15" s="93"/>
      <c r="D15" s="93"/>
      <c r="E15" s="93"/>
      <c r="F15" s="97"/>
      <c r="G15" s="95"/>
      <c r="H15" s="91"/>
      <c r="I15" s="91"/>
      <c r="J15" s="93"/>
      <c r="K15" s="91"/>
      <c r="L15" s="91"/>
      <c r="M15" s="90"/>
    </row>
    <row r="16" spans="1:13">
      <c r="A16" s="83"/>
      <c r="B16" s="88"/>
      <c r="C16" s="12">
        <v>7.6499999999999999E-2</v>
      </c>
      <c r="D16" s="12">
        <v>8.0000000000000002E-3</v>
      </c>
      <c r="E16" s="12">
        <v>2.7E-2</v>
      </c>
      <c r="F16" s="12">
        <v>0</v>
      </c>
      <c r="G16" s="31">
        <v>3.5000000000000003E-2</v>
      </c>
      <c r="H16" s="12">
        <v>1.4999999999999999E-2</v>
      </c>
      <c r="I16" s="31">
        <v>0.1</v>
      </c>
      <c r="J16" s="12">
        <f>SUM(C16:I16)</f>
        <v>0.26149999999999995</v>
      </c>
      <c r="K16" s="31">
        <v>0.03</v>
      </c>
      <c r="L16" s="31">
        <v>0.4</v>
      </c>
      <c r="M16" s="13">
        <f>SUM(J16:L16)</f>
        <v>0.6915</v>
      </c>
    </row>
    <row r="17" spans="1:13" ht="20.100000000000001" customHeight="1">
      <c r="A17" s="14" t="s">
        <v>43</v>
      </c>
      <c r="B17" s="28">
        <v>35</v>
      </c>
      <c r="C17" s="15">
        <f>B17*C16</f>
        <v>2.6774999999999998</v>
      </c>
      <c r="D17" s="15">
        <f>B17*D16</f>
        <v>0.28000000000000003</v>
      </c>
      <c r="E17" s="15">
        <f>B17*E16</f>
        <v>0.94499999999999995</v>
      </c>
      <c r="F17" s="15">
        <v>4</v>
      </c>
      <c r="G17" s="15">
        <f>B17*G16</f>
        <v>1.2250000000000001</v>
      </c>
      <c r="H17" s="15">
        <f>B17*H16</f>
        <v>0.52500000000000002</v>
      </c>
      <c r="I17" s="15">
        <f>B17*I16</f>
        <v>3.5</v>
      </c>
      <c r="J17" s="15">
        <f>SUM(B17:I17)</f>
        <v>48.152500000000003</v>
      </c>
      <c r="K17" s="15">
        <f>J17*K16</f>
        <v>1.4445749999999999</v>
      </c>
      <c r="L17" s="15">
        <f>(J17+K17)*L16</f>
        <v>19.838830000000002</v>
      </c>
      <c r="M17" s="16">
        <f>SUM(J17:L17)</f>
        <v>69.435905000000005</v>
      </c>
    </row>
    <row r="18" spans="1:13" ht="20.100000000000001" customHeight="1">
      <c r="A18" s="17" t="s">
        <v>44</v>
      </c>
      <c r="B18" s="29">
        <v>30</v>
      </c>
      <c r="C18" s="18">
        <f>B18*C16</f>
        <v>2.2949999999999999</v>
      </c>
      <c r="D18" s="18">
        <f>B18*D16</f>
        <v>0.24</v>
      </c>
      <c r="E18" s="18">
        <f>B18*E16</f>
        <v>0.80999999999999994</v>
      </c>
      <c r="F18" s="18">
        <v>4</v>
      </c>
      <c r="G18" s="18">
        <f>B18*G16</f>
        <v>1.05</v>
      </c>
      <c r="H18" s="18">
        <f>B18*H16</f>
        <v>0.44999999999999996</v>
      </c>
      <c r="I18" s="18">
        <f>B18*I16</f>
        <v>3</v>
      </c>
      <c r="J18" s="18">
        <f>SUM(B18:I18)</f>
        <v>41.845000000000006</v>
      </c>
      <c r="K18" s="18">
        <f>J18*K16</f>
        <v>1.2553500000000002</v>
      </c>
      <c r="L18" s="18">
        <f>(J18+K18)*L16</f>
        <v>17.240140000000004</v>
      </c>
      <c r="M18" s="18">
        <f>SUM(J18:L18)</f>
        <v>60.34049000000001</v>
      </c>
    </row>
    <row r="19" spans="1:13" ht="20.100000000000001" customHeight="1">
      <c r="A19" s="36" t="s">
        <v>3</v>
      </c>
      <c r="B19" s="29">
        <v>65</v>
      </c>
      <c r="C19" s="18">
        <f>B19*C16</f>
        <v>4.9725000000000001</v>
      </c>
      <c r="D19" s="18">
        <f>B19*D16</f>
        <v>0.52</v>
      </c>
      <c r="E19" s="18">
        <f>B19*E16</f>
        <v>1.7549999999999999</v>
      </c>
      <c r="F19" s="18">
        <v>4</v>
      </c>
      <c r="G19" s="18">
        <f>B19*G16</f>
        <v>2.2750000000000004</v>
      </c>
      <c r="H19" s="18">
        <f>B19*H16</f>
        <v>0.97499999999999998</v>
      </c>
      <c r="I19" s="18">
        <f>B19*I16</f>
        <v>6.5</v>
      </c>
      <c r="J19" s="18">
        <f>SUM(B19:I19)</f>
        <v>85.997499999999988</v>
      </c>
      <c r="K19" s="18"/>
      <c r="L19" s="18"/>
      <c r="M19" s="18">
        <v>125</v>
      </c>
    </row>
    <row r="20" spans="1:13" ht="20.100000000000001" customHeight="1">
      <c r="A20" s="35" t="s">
        <v>27</v>
      </c>
      <c r="B20" s="29">
        <v>85</v>
      </c>
      <c r="C20" s="18">
        <f>B20*C16</f>
        <v>6.5024999999999995</v>
      </c>
      <c r="D20" s="18">
        <f>B20*D16</f>
        <v>0.68</v>
      </c>
      <c r="E20" s="18">
        <f>B20*E16</f>
        <v>2.2949999999999999</v>
      </c>
      <c r="F20" s="18">
        <v>0</v>
      </c>
      <c r="G20" s="18">
        <f>B20*G16</f>
        <v>2.9750000000000001</v>
      </c>
      <c r="H20" s="18">
        <f>B20*H16</f>
        <v>1.2749999999999999</v>
      </c>
      <c r="I20" s="18">
        <f>B20*I16</f>
        <v>8.5</v>
      </c>
      <c r="J20" s="18">
        <f>SUM(B20:I20)</f>
        <v>107.22750000000001</v>
      </c>
      <c r="K20" s="18"/>
      <c r="L20" s="18"/>
      <c r="M20" s="18">
        <v>150</v>
      </c>
    </row>
    <row r="21" spans="1:13" ht="20.100000000000001" customHeight="1">
      <c r="A21" s="32"/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15" customHeight="1" thickBot="1"/>
    <row r="23" spans="1:13">
      <c r="A23" s="82" t="s">
        <v>28</v>
      </c>
      <c r="B23" s="86" t="s">
        <v>45</v>
      </c>
      <c r="C23" s="92" t="s">
        <v>30</v>
      </c>
      <c r="D23" s="92" t="s">
        <v>31</v>
      </c>
      <c r="E23" s="92" t="s">
        <v>32</v>
      </c>
      <c r="F23" s="96" t="s">
        <v>33</v>
      </c>
      <c r="G23" s="94" t="s">
        <v>34</v>
      </c>
      <c r="H23" s="92" t="s">
        <v>35</v>
      </c>
      <c r="I23" s="92"/>
      <c r="J23" s="92" t="s">
        <v>36</v>
      </c>
      <c r="K23" s="94" t="s">
        <v>37</v>
      </c>
      <c r="L23" s="94"/>
      <c r="M23" s="89" t="s">
        <v>46</v>
      </c>
    </row>
    <row r="24" spans="1:13">
      <c r="A24" s="83"/>
      <c r="B24" s="87"/>
      <c r="C24" s="93"/>
      <c r="D24" s="93"/>
      <c r="E24" s="93"/>
      <c r="F24" s="97"/>
      <c r="G24" s="95"/>
      <c r="H24" s="93"/>
      <c r="I24" s="93"/>
      <c r="J24" s="93"/>
      <c r="K24" s="95"/>
      <c r="L24" s="95"/>
      <c r="M24" s="90"/>
    </row>
    <row r="25" spans="1:13">
      <c r="A25" s="83"/>
      <c r="B25" s="87"/>
      <c r="C25" s="93"/>
      <c r="D25" s="93"/>
      <c r="E25" s="93"/>
      <c r="F25" s="97"/>
      <c r="G25" s="95"/>
      <c r="H25" s="91" t="s">
        <v>39</v>
      </c>
      <c r="I25" s="91" t="s">
        <v>40</v>
      </c>
      <c r="J25" s="93"/>
      <c r="K25" s="91" t="s">
        <v>41</v>
      </c>
      <c r="L25" s="91" t="s">
        <v>42</v>
      </c>
      <c r="M25" s="90"/>
    </row>
    <row r="26" spans="1:13">
      <c r="A26" s="83"/>
      <c r="B26" s="87"/>
      <c r="C26" s="93"/>
      <c r="D26" s="93"/>
      <c r="E26" s="93"/>
      <c r="F26" s="97"/>
      <c r="G26" s="95"/>
      <c r="H26" s="91"/>
      <c r="I26" s="91"/>
      <c r="J26" s="93"/>
      <c r="K26" s="91"/>
      <c r="L26" s="91"/>
      <c r="M26" s="90"/>
    </row>
    <row r="27" spans="1:13">
      <c r="A27" s="83"/>
      <c r="B27" s="88"/>
      <c r="C27" s="12">
        <v>7.6499999999999999E-2</v>
      </c>
      <c r="D27" s="12">
        <v>8.0000000000000002E-3</v>
      </c>
      <c r="E27" s="12">
        <v>2.7E-2</v>
      </c>
      <c r="F27" s="12">
        <v>0</v>
      </c>
      <c r="G27" s="31">
        <v>3.5000000000000003E-2</v>
      </c>
      <c r="H27" s="12">
        <v>1.4999999999999999E-2</v>
      </c>
      <c r="I27" s="31">
        <f>I16</f>
        <v>0.1</v>
      </c>
      <c r="J27" s="12">
        <f>SUM(C27:I27)</f>
        <v>0.26149999999999995</v>
      </c>
      <c r="K27" s="12">
        <v>0</v>
      </c>
      <c r="L27" s="31">
        <v>0.35</v>
      </c>
      <c r="M27" s="13">
        <f>SUM(J27:L27)</f>
        <v>0.61149999999999993</v>
      </c>
    </row>
    <row r="28" spans="1:13" ht="20.100000000000001" customHeight="1">
      <c r="A28" s="14" t="s">
        <v>43</v>
      </c>
      <c r="B28" s="28">
        <f>B17*1.5</f>
        <v>52.5</v>
      </c>
      <c r="C28" s="15">
        <f>B28*C27</f>
        <v>4.0162500000000003</v>
      </c>
      <c r="D28" s="15">
        <f>B28*D27</f>
        <v>0.42</v>
      </c>
      <c r="E28" s="15">
        <f>B28*E27</f>
        <v>1.4175</v>
      </c>
      <c r="F28" s="15">
        <v>0</v>
      </c>
      <c r="G28" s="15">
        <f>B28*G27</f>
        <v>1.8375000000000001</v>
      </c>
      <c r="H28" s="15">
        <f>B28*H27</f>
        <v>0.78749999999999998</v>
      </c>
      <c r="I28" s="15">
        <f>B28*I27</f>
        <v>5.25</v>
      </c>
      <c r="J28" s="15">
        <f>SUM(B28:I28)</f>
        <v>66.228749999999991</v>
      </c>
      <c r="K28" s="15">
        <v>0</v>
      </c>
      <c r="L28" s="15">
        <f>J28*L27</f>
        <v>23.180062499999995</v>
      </c>
      <c r="M28" s="16">
        <f>SUM(J28:L28)</f>
        <v>89.408812499999982</v>
      </c>
    </row>
    <row r="29" spans="1:13" ht="20.100000000000001" customHeight="1">
      <c r="A29" s="17" t="s">
        <v>44</v>
      </c>
      <c r="B29" s="28">
        <f>B18*1.5</f>
        <v>45</v>
      </c>
      <c r="C29" s="15">
        <f>B29*C27</f>
        <v>3.4424999999999999</v>
      </c>
      <c r="D29" s="15">
        <f>B29*D27</f>
        <v>0.36</v>
      </c>
      <c r="E29" s="15">
        <f>B29*E27</f>
        <v>1.2150000000000001</v>
      </c>
      <c r="F29" s="15">
        <v>0</v>
      </c>
      <c r="G29" s="15">
        <f>B29*G27</f>
        <v>1.5750000000000002</v>
      </c>
      <c r="H29" s="15">
        <f>B29*H27</f>
        <v>0.67499999999999993</v>
      </c>
      <c r="I29" s="15">
        <f>B29*I27</f>
        <v>4.5</v>
      </c>
      <c r="J29" s="15">
        <f>SUM(B29:I29)</f>
        <v>56.767500000000005</v>
      </c>
      <c r="K29" s="15">
        <v>0</v>
      </c>
      <c r="L29" s="15">
        <f>J29*L27</f>
        <v>19.868625000000002</v>
      </c>
      <c r="M29" s="16">
        <f>SUM(J29:L29)</f>
        <v>76.636125000000007</v>
      </c>
    </row>
    <row r="30" spans="1:13" ht="15" customHeight="1"/>
  </sheetData>
  <mergeCells count="37">
    <mergeCell ref="C23:C26"/>
    <mergeCell ref="D23:D26"/>
    <mergeCell ref="J12:J15"/>
    <mergeCell ref="K12:L13"/>
    <mergeCell ref="K23:L24"/>
    <mergeCell ref="E23:E26"/>
    <mergeCell ref="F23:F26"/>
    <mergeCell ref="G23:G26"/>
    <mergeCell ref="E12:E15"/>
    <mergeCell ref="F12:F15"/>
    <mergeCell ref="G12:G15"/>
    <mergeCell ref="H12:I13"/>
    <mergeCell ref="C12:C15"/>
    <mergeCell ref="D12:D15"/>
    <mergeCell ref="M12:M15"/>
    <mergeCell ref="H14:H15"/>
    <mergeCell ref="I14:I15"/>
    <mergeCell ref="K14:K15"/>
    <mergeCell ref="L14:L15"/>
    <mergeCell ref="M23:M26"/>
    <mergeCell ref="H25:H26"/>
    <mergeCell ref="I25:I26"/>
    <mergeCell ref="K25:K26"/>
    <mergeCell ref="L25:L26"/>
    <mergeCell ref="H23:I24"/>
    <mergeCell ref="J23:J26"/>
    <mergeCell ref="A23:A27"/>
    <mergeCell ref="A3:B3"/>
    <mergeCell ref="A4:B4"/>
    <mergeCell ref="A8:B8"/>
    <mergeCell ref="A9:B9"/>
    <mergeCell ref="A6:B6"/>
    <mergeCell ref="B23:B27"/>
    <mergeCell ref="A5:B5"/>
    <mergeCell ref="A12:A16"/>
    <mergeCell ref="B12:B16"/>
    <mergeCell ref="A7:B7"/>
  </mergeCells>
  <phoneticPr fontId="0" type="noConversion"/>
  <pageMargins left="0.5" right="0.5" top="1" bottom="1" header="0.5" footer="0.5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Sheet</vt:lpstr>
      <vt:lpstr>Summary Sales Sheet</vt:lpstr>
      <vt:lpstr>Labor Rates</vt:lpstr>
    </vt:vector>
  </TitlesOfParts>
  <Company>Pro Energy Services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macquafresca</dc:creator>
  <cp:lastModifiedBy>jstevens</cp:lastModifiedBy>
  <cp:lastPrinted>2009-04-13T21:59:28Z</cp:lastPrinted>
  <dcterms:created xsi:type="dcterms:W3CDTF">2002-06-24T14:37:03Z</dcterms:created>
  <dcterms:modified xsi:type="dcterms:W3CDTF">2011-03-07T16:23:11Z</dcterms:modified>
</cp:coreProperties>
</file>